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1"/>
  <workbookPr defaultThemeVersion="166925"/>
  <mc:AlternateContent xmlns:mc="http://schemas.openxmlformats.org/markup-compatibility/2006">
    <mc:Choice Requires="x15">
      <x15ac:absPath xmlns:x15ac="http://schemas.microsoft.com/office/spreadsheetml/2010/11/ac" url="https://ivlse.sharepoint.com/sites/uppdragsprojekt/Projektdokument/512916 KlivPå småhus – klimatpåverkan i ett livscykelperspektiv/02 Arbetsmaterial/AP 4 Gemensamt arbetssätt/Schabloner A5/"/>
    </mc:Choice>
  </mc:AlternateContent>
  <xr:revisionPtr revIDLastSave="0" documentId="8_{F10EA082-80FD-42E6-9430-1288E626F575}" xr6:coauthVersionLast="47" xr6:coauthVersionMax="47" xr10:uidLastSave="{00000000-0000-0000-0000-000000000000}"/>
  <workbookProtection workbookAlgorithmName="SHA-512" workbookHashValue="uxImWE5KTkAb/rBw744/SOmzG+x/3LqCvyuK0RkHmf2ve6SCbAduMRg4xsFnkqAF9kIepXWfMqYnThiiufTntg==" workbookSaltValue="OLO8gUJqXBJ5ZJiqBTolig==" workbookSpinCount="100000" lockStructure="1"/>
  <bookViews>
    <workbookView xWindow="-120" yWindow="-120" windowWidth="29040" windowHeight="17640" tabRatio="727" xr2:uid="{6F2C6A6E-DA44-4FEF-8E16-3D6386FA55C8}"/>
  </bookViews>
  <sheets>
    <sheet name="Instruktion" sheetId="9" r:id="rId1"/>
    <sheet name="Emissionsfaktorer" sheetId="12" r:id="rId2"/>
    <sheet name="Beräkningssnurra A5.2-A5.5 " sheetId="8" r:id="rId3"/>
    <sheet name="Antaganden" sheetId="10" r:id="rId4"/>
    <sheet name="Uträkningar Snurra" sheetId="5" state="hidden" r:id="rId5"/>
    <sheet name="Schablonberäkning A5.2-A5.5" sheetId="2" state="hidden" r:id="rId6"/>
    <sheet name="Listor" sheetId="4" state="hidden" r:id="rId7"/>
    <sheet name="Klimatpåverkan per energianvänd" sheetId="11" state="hidden" r:id="rId8"/>
    <sheet name="Beskrivning av källor" sheetId="3" state="hidden" r:id="rId9"/>
  </sheets>
  <definedNames>
    <definedName name="_xlnm.Print_Area" localSheetId="2">'Beräkningssnurra A5.2-A5.5 '!$A$1:$K$149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2" l="1"/>
  <c r="L18" i="2"/>
  <c r="M18" i="2" s="1"/>
  <c r="L17" i="2"/>
  <c r="F23" i="8"/>
  <c r="I35" i="8" l="1"/>
  <c r="I36" i="8"/>
  <c r="I34" i="8"/>
  <c r="F24" i="8"/>
  <c r="F25" i="8"/>
  <c r="F26" i="8"/>
  <c r="F27" i="8"/>
  <c r="F22" i="8"/>
  <c r="F52" i="8"/>
  <c r="D45" i="4"/>
  <c r="D46" i="4"/>
  <c r="D44" i="4"/>
  <c r="O27" i="5" l="1"/>
  <c r="M27" i="5"/>
  <c r="M28" i="5"/>
  <c r="M26" i="5"/>
  <c r="K17" i="2"/>
  <c r="F35" i="8" s="1"/>
  <c r="K18" i="2"/>
  <c r="F36" i="8" s="1"/>
  <c r="K16" i="2"/>
  <c r="F34" i="8" l="1"/>
  <c r="G35" i="8"/>
  <c r="F10" i="10"/>
  <c r="F18" i="10" s="1"/>
  <c r="F29" i="10" s="1"/>
  <c r="C3" i="2"/>
  <c r="D5" i="2"/>
  <c r="C5" i="2"/>
  <c r="D4" i="2"/>
  <c r="C4" i="2"/>
  <c r="D3" i="2"/>
  <c r="H35" i="8" l="1"/>
  <c r="D92" i="5"/>
  <c r="F14" i="10"/>
  <c r="F23" i="10" s="1"/>
  <c r="D136" i="8"/>
  <c r="M63" i="5" l="1"/>
  <c r="M58" i="5"/>
  <c r="D33" i="5"/>
  <c r="M51" i="5"/>
  <c r="M42" i="5"/>
  <c r="M32" i="5"/>
  <c r="M86" i="5"/>
  <c r="M87" i="5"/>
  <c r="M88" i="5"/>
  <c r="M85" i="5"/>
  <c r="M81" i="5"/>
  <c r="M82" i="5"/>
  <c r="M80" i="5"/>
  <c r="H48" i="2"/>
  <c r="H47" i="2"/>
  <c r="H46" i="2"/>
  <c r="J88" i="5"/>
  <c r="J87" i="5"/>
  <c r="J86" i="5"/>
  <c r="J85" i="5"/>
  <c r="J81" i="5"/>
  <c r="J82" i="5"/>
  <c r="J80" i="5"/>
  <c r="D86" i="5"/>
  <c r="D87" i="5"/>
  <c r="D88" i="5"/>
  <c r="D85" i="5"/>
  <c r="D81" i="5"/>
  <c r="D82" i="5"/>
  <c r="D80" i="5"/>
  <c r="F53" i="8"/>
  <c r="F54" i="8"/>
  <c r="F55" i="8"/>
  <c r="F56" i="8"/>
  <c r="F57" i="8"/>
  <c r="F58" i="8"/>
  <c r="H32" i="2"/>
  <c r="H31" i="2"/>
  <c r="H28" i="2"/>
  <c r="H27" i="2"/>
  <c r="H24" i="2"/>
  <c r="H23" i="2"/>
  <c r="D32" i="10" l="1"/>
  <c r="D31" i="10"/>
  <c r="D30" i="10"/>
  <c r="D27" i="10"/>
  <c r="D26" i="10"/>
  <c r="D25" i="10"/>
  <c r="D14" i="10"/>
  <c r="D18" i="10" s="1"/>
  <c r="D23" i="10" s="1"/>
  <c r="D29" i="10" s="1"/>
  <c r="D10" i="10"/>
  <c r="L23" i="2" l="1"/>
  <c r="J23" i="2"/>
  <c r="E5" i="2"/>
  <c r="E94" i="5" s="1"/>
  <c r="C93" i="5"/>
  <c r="D93" i="5"/>
  <c r="E93" i="5"/>
  <c r="C94" i="5"/>
  <c r="D94" i="5"/>
  <c r="E92" i="5"/>
  <c r="C92" i="5"/>
  <c r="N23" i="2" l="1"/>
  <c r="M15" i="5"/>
  <c r="D125" i="8"/>
  <c r="M41" i="5" l="1"/>
  <c r="M50" i="5" s="1"/>
  <c r="M57" i="5" s="1"/>
  <c r="M62" i="5" s="1"/>
  <c r="M70" i="5" s="1"/>
  <c r="M79" i="5" s="1"/>
  <c r="M84" i="5" s="1"/>
  <c r="D62" i="5"/>
  <c r="J19" i="5" s="1"/>
  <c r="F63" i="5" l="1"/>
  <c r="D69" i="5"/>
  <c r="D40" i="5"/>
  <c r="D31" i="5"/>
  <c r="D49" i="5"/>
  <c r="J17" i="5" s="1"/>
  <c r="D56" i="5"/>
  <c r="J16" i="5" l="1"/>
  <c r="J20" i="5"/>
  <c r="J18" i="5"/>
  <c r="J15" i="5"/>
  <c r="C24" i="5"/>
  <c r="H58" i="5" s="1"/>
  <c r="C22" i="5"/>
  <c r="C20" i="5"/>
  <c r="C18" i="5"/>
  <c r="C16" i="5"/>
  <c r="D46" i="5"/>
  <c r="D74" i="5"/>
  <c r="D72" i="5"/>
  <c r="D70" i="5"/>
  <c r="D60" i="5"/>
  <c r="D58" i="5"/>
  <c r="H63" i="5" s="1"/>
  <c r="D53" i="5"/>
  <c r="D51" i="5"/>
  <c r="D44" i="5"/>
  <c r="D42" i="5"/>
  <c r="D37" i="5"/>
  <c r="D35" i="5"/>
  <c r="J30" i="4" l="1"/>
  <c r="D19" i="2"/>
  <c r="J29" i="4" s="1"/>
  <c r="L71" i="5" s="1"/>
  <c r="D18" i="2"/>
  <c r="J51" i="5"/>
  <c r="J71" i="5"/>
  <c r="L32" i="5"/>
  <c r="L63" i="5"/>
  <c r="N63" i="5" s="1"/>
  <c r="K19" i="5" s="1"/>
  <c r="S71" i="5"/>
  <c r="H71" i="5"/>
  <c r="S88" i="5"/>
  <c r="H88" i="5"/>
  <c r="S87" i="5"/>
  <c r="H87" i="5"/>
  <c r="S86" i="5"/>
  <c r="H86" i="5"/>
  <c r="H85" i="5"/>
  <c r="H82" i="5"/>
  <c r="H81" i="5"/>
  <c r="H80" i="5"/>
  <c r="H51" i="5"/>
  <c r="L42" i="5"/>
  <c r="N42" i="5" s="1"/>
  <c r="K16" i="5" s="1"/>
  <c r="P42" i="5" l="1"/>
  <c r="P43" i="5" s="1"/>
  <c r="P45" i="5"/>
  <c r="N32" i="5"/>
  <c r="K15" i="5" s="1"/>
  <c r="O15" i="5" s="1"/>
  <c r="P44" i="5"/>
  <c r="P63" i="5"/>
  <c r="L58" i="5"/>
  <c r="N71" i="5"/>
  <c r="N51" i="5"/>
  <c r="P64" i="5" l="1"/>
  <c r="P51" i="5"/>
  <c r="K17" i="5"/>
  <c r="P71" i="5"/>
  <c r="K20" i="5"/>
  <c r="P35" i="5"/>
  <c r="P32" i="5"/>
  <c r="P34" i="5"/>
  <c r="N58" i="5"/>
  <c r="P33" i="5" l="1"/>
  <c r="P52" i="5"/>
  <c r="P72" i="5"/>
  <c r="P58" i="5"/>
  <c r="K18" i="5"/>
  <c r="H17" i="2"/>
  <c r="F28" i="2"/>
  <c r="F31" i="2"/>
  <c r="P59" i="5" l="1"/>
  <c r="J31" i="2"/>
  <c r="L31" i="2" s="1"/>
  <c r="L28" i="2"/>
  <c r="N28" i="2" s="1"/>
  <c r="N31" i="2" l="1"/>
  <c r="M18" i="5"/>
  <c r="O18" i="5" s="1"/>
  <c r="Q48" i="2"/>
  <c r="Q47" i="2"/>
  <c r="Q46" i="2"/>
  <c r="Q43" i="2"/>
  <c r="Q42" i="2"/>
  <c r="Q41" i="2"/>
  <c r="J24" i="2" l="1"/>
  <c r="F32" i="2"/>
  <c r="J32" i="2" s="1"/>
  <c r="L32" i="2" s="1"/>
  <c r="F47" i="2"/>
  <c r="J47" i="2" s="1"/>
  <c r="L47" i="2" s="1"/>
  <c r="N47" i="2" s="1"/>
  <c r="F48" i="2"/>
  <c r="J48" i="2" s="1"/>
  <c r="L48" i="2" s="1"/>
  <c r="N48" i="2" s="1"/>
  <c r="F46" i="2"/>
  <c r="J46" i="2" s="1"/>
  <c r="L46" i="2" s="1"/>
  <c r="N32" i="2" l="1"/>
  <c r="M19" i="5"/>
  <c r="O19" i="5" s="1"/>
  <c r="N46" i="2"/>
  <c r="M20" i="5"/>
  <c r="O20" i="5" s="1"/>
  <c r="L24" i="2"/>
  <c r="F41" i="2"/>
  <c r="J41" i="2" s="1"/>
  <c r="L86" i="5" s="1"/>
  <c r="N86" i="5" s="1"/>
  <c r="P86" i="5" s="1"/>
  <c r="F42" i="2"/>
  <c r="J42" i="2" s="1"/>
  <c r="L87" i="5" s="1"/>
  <c r="N87" i="5" s="1"/>
  <c r="P87" i="5" s="1"/>
  <c r="F43" i="2"/>
  <c r="J43" i="2" s="1"/>
  <c r="L88" i="5" s="1"/>
  <c r="N88" i="5" s="1"/>
  <c r="P88" i="5" s="1"/>
  <c r="F40" i="2"/>
  <c r="J40" i="2" s="1"/>
  <c r="L85" i="5" s="1"/>
  <c r="N85" i="5" s="1"/>
  <c r="F37" i="2"/>
  <c r="J37" i="2" s="1"/>
  <c r="L82" i="5" s="1"/>
  <c r="N82" i="5" s="1"/>
  <c r="P82" i="5" s="1"/>
  <c r="F36" i="2"/>
  <c r="F35" i="2"/>
  <c r="J35" i="2" s="1"/>
  <c r="L80" i="5" s="1"/>
  <c r="N80" i="5" s="1"/>
  <c r="F27" i="2"/>
  <c r="N24" i="2" l="1"/>
  <c r="M16" i="5"/>
  <c r="O16" i="5" s="1"/>
  <c r="O28" i="5" s="1"/>
  <c r="L27" i="2"/>
  <c r="P80" i="5"/>
  <c r="P85" i="5"/>
  <c r="J36" i="2"/>
  <c r="L35" i="2"/>
  <c r="H43" i="2"/>
  <c r="L43" i="2" s="1"/>
  <c r="N43" i="2" s="1"/>
  <c r="H42" i="2"/>
  <c r="L42" i="2" s="1"/>
  <c r="N42" i="2" s="1"/>
  <c r="H41" i="2"/>
  <c r="L41" i="2" s="1"/>
  <c r="N41" i="2" s="1"/>
  <c r="H40" i="2"/>
  <c r="L40" i="2" s="1"/>
  <c r="H37" i="2"/>
  <c r="M17" i="5" l="1"/>
  <c r="O17" i="5" s="1"/>
  <c r="P89" i="5"/>
  <c r="G36" i="8"/>
  <c r="N27" i="2"/>
  <c r="N40" i="2"/>
  <c r="M22" i="5"/>
  <c r="O22" i="5" s="1"/>
  <c r="N35" i="2"/>
  <c r="L36" i="2"/>
  <c r="L16" i="2" s="1"/>
  <c r="L81" i="5"/>
  <c r="N81" i="5" s="1"/>
  <c r="L37" i="2"/>
  <c r="N37" i="2" s="1"/>
  <c r="H36" i="8" l="1"/>
  <c r="M21" i="5"/>
  <c r="O21" i="5" s="1"/>
  <c r="O26" i="5" s="1"/>
  <c r="P81" i="5"/>
  <c r="N36" i="2"/>
  <c r="P83" i="5" l="1"/>
  <c r="D16" i="2"/>
  <c r="G16" i="2" s="1"/>
  <c r="C8" i="5" s="1"/>
  <c r="M16" i="2"/>
  <c r="G34" i="8"/>
  <c r="G18" i="2"/>
  <c r="G17" i="2" l="1"/>
  <c r="C7" i="5"/>
  <c r="D7" i="5" s="1"/>
  <c r="E17" i="8" s="1"/>
  <c r="C10" i="5"/>
  <c r="K7" i="5" s="1"/>
  <c r="C11" i="5"/>
  <c r="D17" i="2"/>
  <c r="D17" i="8"/>
  <c r="E7" i="5"/>
  <c r="F17" i="8" s="1"/>
  <c r="D8" i="5"/>
  <c r="E47" i="8" s="1"/>
  <c r="E8" i="5"/>
  <c r="F47" i="8" s="1"/>
  <c r="D47" i="8"/>
  <c r="H34" i="8"/>
  <c r="D49" i="8" l="1"/>
  <c r="D11" i="5"/>
  <c r="E49" i="8" s="1"/>
  <c r="E11" i="5"/>
  <c r="F49" i="8" s="1"/>
  <c r="D19" i="8"/>
  <c r="R82" i="5"/>
  <c r="R85" i="5"/>
  <c r="R87" i="5"/>
  <c r="R81" i="5"/>
  <c r="D10" i="5"/>
  <c r="E19" i="8" s="1"/>
  <c r="R88" i="5"/>
  <c r="R86" i="5"/>
  <c r="R80" i="5"/>
  <c r="E10" i="5"/>
  <c r="F19" i="8" s="1"/>
  <c r="O23" i="2"/>
  <c r="N13" i="11" s="1"/>
  <c r="O28" i="2"/>
  <c r="O31" i="2"/>
  <c r="N16" i="11" s="1"/>
  <c r="G24" i="8" s="1"/>
  <c r="O47" i="2"/>
  <c r="O48" i="2"/>
  <c r="O46" i="2"/>
  <c r="N19" i="11" s="1"/>
  <c r="G27" i="8" s="1"/>
  <c r="O32" i="2"/>
  <c r="O42" i="2"/>
  <c r="O43" i="2"/>
  <c r="O41" i="2"/>
  <c r="O40" i="2"/>
  <c r="O37" i="2"/>
  <c r="O27" i="2"/>
  <c r="N15" i="11" s="1"/>
  <c r="G23" i="8" s="1"/>
  <c r="O35" i="2"/>
  <c r="O36" i="2"/>
  <c r="N17" i="11" l="1"/>
  <c r="G25" i="8" s="1"/>
  <c r="Q63" i="5"/>
  <c r="Q32" i="5"/>
  <c r="Q51" i="5"/>
  <c r="Q71" i="5"/>
  <c r="Q58" i="5"/>
  <c r="Q86" i="5"/>
  <c r="Q87" i="5"/>
  <c r="Q88" i="5"/>
  <c r="Q82" i="5"/>
  <c r="Q80" i="5"/>
  <c r="Q85" i="5"/>
  <c r="Q81" i="5"/>
  <c r="G22" i="8"/>
  <c r="N18" i="11"/>
  <c r="G26" i="8" s="1"/>
  <c r="P23" i="2"/>
  <c r="D13" i="11" s="1"/>
  <c r="G52" i="8" s="1"/>
  <c r="P46" i="2"/>
  <c r="R58" i="5"/>
  <c r="R63" i="5"/>
  <c r="P37" i="2"/>
  <c r="P41" i="2"/>
  <c r="R32" i="5"/>
  <c r="P27" i="2"/>
  <c r="D15" i="11" s="1"/>
  <c r="G54" i="8" s="1"/>
  <c r="P24" i="2"/>
  <c r="D14" i="11" s="1"/>
  <c r="G53" i="8" s="1"/>
  <c r="P40" i="2"/>
  <c r="P47" i="2"/>
  <c r="P35" i="2"/>
  <c r="P31" i="2"/>
  <c r="D16" i="11" s="1"/>
  <c r="G55" i="8" s="1"/>
  <c r="P32" i="2"/>
  <c r="P36" i="2"/>
  <c r="R42" i="5"/>
  <c r="R71" i="5"/>
  <c r="P28" i="2"/>
  <c r="P48" i="2"/>
  <c r="P43" i="2"/>
  <c r="P42" i="2"/>
  <c r="R51" i="5"/>
  <c r="D19" i="11" l="1"/>
  <c r="G58" i="8" s="1"/>
  <c r="N20" i="11"/>
  <c r="D17" i="11"/>
  <c r="G56" i="8" s="1"/>
  <c r="D18" i="11"/>
  <c r="G57" i="8" s="1"/>
  <c r="D2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tc={EA87E717-3DD7-49C2-8A4E-5B21D3DDBC3F}</author>
    <author>tc={B5BC3194-856E-4E6F-99DC-3EE366001161}</author>
    <author>tc={83559C87-B51D-4103-A5F9-8278C4AC4C3C}</author>
    <author>tc={0ECBEECA-231E-4812-8237-F3C7382D215B}</author>
    <author>tc={73A05782-E5E1-40F0-95B1-2A737B90C7C8}</author>
    <author>tc={BC8489CA-1AA4-4CBA-937A-2EF8ED221BC7}</author>
    <author>tc={04C340EF-E83D-46D3-8215-F700962B2C2C}</author>
    <author>tc={1EDCD530-AC3A-4239-ACD7-4B1D53440716}</author>
    <author>tc={47439504-6FF9-427E-AB99-C423012CEB8C}</author>
  </authors>
  <commentList>
    <comment ref="D19" authorId="0" shapeId="0" xr:uid="{EA87E717-3DD7-49C2-8A4E-5B21D3DDBC3F}">
      <text>
        <t>[Threaded comment]
Your version of Excel allows you to read this threaded comment; however, any edits to it will get removed if the file is opened in a newer version of Excel. Learn more: https://go.microsoft.com/fwlink/?linkid=870924
Comment:
    Antar 1 månad för grunden och resterande för att bygga huset ovan mark</t>
      </text>
    </comment>
    <comment ref="D34" authorId="1" shapeId="0" xr:uid="{B5BC3194-856E-4E6F-99DC-3EE366001161}">
      <text>
        <t>[Threaded comment]
Your version of Excel allows you to read this threaded comment; however, any edits to it will get removed if the file is opened in a newer version of Excel. Learn more: https://go.microsoft.com/fwlink/?linkid=870924
Comment:
    Antal från rundringning (förrutm batteridrivna handverktyg, denna siffra har överdrivits.</t>
      </text>
    </comment>
    <comment ref="K34" authorId="2" shapeId="0" xr:uid="{83559C87-B51D-4103-A5F9-8278C4AC4C3C}">
      <text>
        <t>[Threaded comment]
Your version of Excel allows you to read this threaded comment; however, any edits to it will get removed if the file is opened in a newer version of Excel. Learn more: https://go.microsoft.com/fwlink/?linkid=870924
Comment:
    Nyttjandegrad högt räknad</t>
      </text>
    </comment>
    <comment ref="K37" authorId="3" shapeId="0" xr:uid="{0ECBEECA-231E-4812-8237-F3C7382D215B}">
      <text>
        <t>[Threaded comment]
Your version of Excel allows you to read this threaded comment; however, any edits to it will get removed if the file is opened in a newer version of Excel. Learn more: https://go.microsoft.com/fwlink/?linkid=870924
Comment:
    Väldigt grovt räknat att projektet har lika många batterier som maskiner och att helften hela tiden är på laddning (under arbetstid på 8 h).</t>
      </text>
    </comment>
    <comment ref="D39" authorId="4" shapeId="0" xr:uid="{73A05782-E5E1-40F0-95B1-2A737B90C7C8}">
      <text>
        <t>[Threaded comment]
Your version of Excel allows you to read this threaded comment; however, any edits to it will get removed if the file is opened in a newer version of Excel. Learn more: https://go.microsoft.com/fwlink/?linkid=870924
Comment:
    Antal antagits utifrån indata Elbjörn, sifforna är något höga för att inte riskera att räkna för lågt</t>
      </text>
    </comment>
    <comment ref="H39" authorId="5" shapeId="0" xr:uid="{BC8489CA-1AA4-4CBA-937A-2EF8ED221BC7}">
      <text>
        <t>[Threaded comment]
Your version of Excel allows you to read this threaded comment; however, any edits to it will get removed if the file is opened in a newer version of Excel. Learn more: https://go.microsoft.com/fwlink/?linkid=870924
Comment:
    Ink. driftsförluster se PDF Elbjörnen
Reply:
    Källa Elbjörn</t>
      </text>
    </comment>
    <comment ref="K39" authorId="6" shapeId="0" xr:uid="{04C340EF-E83D-46D3-8215-F700962B2C2C}">
      <text>
        <t>[Threaded comment]
Your version of Excel allows you to read this threaded comment; however, any edits to it will get removed if the file is opened in a newer version of Excel. Learn more: https://go.microsoft.com/fwlink/?linkid=870924
Comment:
    1 då nyttjandegraden redan är inräknad i data från Elbjörn</t>
      </text>
    </comment>
    <comment ref="H45" authorId="7" shapeId="0" xr:uid="{1EDCD530-AC3A-4239-ACD7-4B1D53440716}">
      <text>
        <t>[Threaded comment]
Your version of Excel allows you to read this threaded comment; however, any edits to it will get removed if the file is opened in a newer version of Excel. Learn more: https://go.microsoft.com/fwlink/?linkid=870924
Comment:
    Ink. driftsförluster se PDF Elbjörnen
Reply:
    Källa Elbjörn</t>
      </text>
    </comment>
    <comment ref="K45" authorId="8" shapeId="0" xr:uid="{47439504-6FF9-427E-AB99-C423012CEB8C}">
      <text>
        <t>[Threaded comment]
Your version of Excel allows you to read this threaded comment; however, any edits to it will get removed if the file is opened in a newer version of Excel. Learn more: https://go.microsoft.com/fwlink/?linkid=870924
Comment:
    1 då nyttjandegraden redan är inräknad i data från Elbjörn</t>
      </text>
    </comment>
  </commentList>
</comments>
</file>

<file path=xl/sharedStrings.xml><?xml version="1.0" encoding="utf-8"?>
<sst xmlns="http://schemas.openxmlformats.org/spreadsheetml/2006/main" count="828" uniqueCount="243">
  <si>
    <t xml:space="preserve">Instruktioner </t>
  </si>
  <si>
    <t>Version 1.4</t>
  </si>
  <si>
    <t>Uppdaterad: 2021-09-03</t>
  </si>
  <si>
    <r>
      <t xml:space="preserve">Denna beräkningssnurra används för att schablonmässigt beräkna klimatpåverkan från bygg- och installationsprocesser på en byggarbetsplats. Beräkningssnurran kan endast appliceras på småhus då antaganden är gjorda utifrån de energiprocesser som sker på byggarbetsplatsen för denna typ av byggprojekt. Beräkningssnurran inkluderar livscykelmodul A5.2-A5.5 och exkluderar därmed A5.1 Spill. 
Beräkningssnurran är uppdelad på två delar, en schablondel och en del där egen data kan användas för de mest energikrävande processerna under byggproduktionsskedet. 
Eldrivna maskiner och inomhusbelysning påverkar klimatpåverkan endast i mindre utsträckning och därmed används alltid en schablon för dessa baserat på byggtid.
Redovisningen görs primärt utan markarbeten (dvs. grävmaskin). Detta då markarbeten inte omfattas i lagkravet om klimatdeklaration för byggnader. Däremot redovisas även resultatet inklusive markarbeten ifall man önskar att inkludera det i sin beräkning. 
Ingående delar i beräkningen beskrivs nedan tillsammans med vilka delar som går att justera med egen data. I brist på egen data kan schabloner alltid användas. Dessa schabloner är konservativa värden som beräknas med ett påslag på 25% för att minimera risken att underskatta klimatpåverkan.
</t>
    </r>
    <r>
      <rPr>
        <sz val="11"/>
        <color rgb="FFFF0000"/>
        <rFont val="Times New Roman"/>
        <family val="1"/>
      </rPr>
      <t xml:space="preserve">
</t>
    </r>
    <r>
      <rPr>
        <sz val="11"/>
        <rFont val="Times New Roman"/>
        <family val="1"/>
      </rPr>
      <t xml:space="preserve">Då klimatdata för olika energislag kommer uppdateras årligen från Boverket kan denna justeras med uppdaterad klimatdata från Boverket i fliken Emissionsfaktorer. </t>
    </r>
    <r>
      <rPr>
        <sz val="11"/>
        <color rgb="FFFF0000"/>
        <rFont val="Times New Roman"/>
        <family val="1"/>
      </rPr>
      <t xml:space="preserve">
</t>
    </r>
    <r>
      <rPr>
        <sz val="11"/>
        <color theme="1"/>
        <rFont val="Times New Roman"/>
        <family val="1"/>
      </rPr>
      <t xml:space="preserve">
Denna beräkningssnurra är framtagen av IVL Svenska Miljöinstitutet inom projektet KlivPå Småhus som är finansierat av Energimyndigheten, Arbio, Derome, Fiskarheden Villan, Trivselhus och Trä- &amp; Möbelföretagen (TMF). </t>
    </r>
  </si>
  <si>
    <t xml:space="preserve"> </t>
  </si>
  <si>
    <t>Energikrävande post</t>
  </si>
  <si>
    <t>Går att justera</t>
  </si>
  <si>
    <t>Drivmedeltyp diesel</t>
  </si>
  <si>
    <t>Ja</t>
  </si>
  <si>
    <t>Mobilkran</t>
  </si>
  <si>
    <t>Grävmaskin</t>
  </si>
  <si>
    <t>Byggbod</t>
  </si>
  <si>
    <t>Uppvärmning</t>
  </si>
  <si>
    <t>Utomhusbelysning</t>
  </si>
  <si>
    <t>Inomhusbelysning</t>
  </si>
  <si>
    <t>Nej</t>
  </si>
  <si>
    <t>Eldrivna verktyg</t>
  </si>
  <si>
    <t>Färgkodning</t>
  </si>
  <si>
    <t>Fält att fylla i</t>
  </si>
  <si>
    <t>Resultat</t>
  </si>
  <si>
    <t>Allmänna rubriker och instruktioner</t>
  </si>
  <si>
    <t>Ej aktiva fält, rör ej</t>
  </si>
  <si>
    <t>Emissionsfaktorer*</t>
  </si>
  <si>
    <t>Boverkets klimatdatabas, A1-A3 energislagets klimatpåverkan, typiskt värde</t>
  </si>
  <si>
    <t>Elektricitet, svensk elmix</t>
  </si>
  <si>
    <t>kg CO2e/kWh</t>
  </si>
  <si>
    <t>Diesel, HVO100</t>
  </si>
  <si>
    <t>kg CO2e/MJ</t>
  </si>
  <si>
    <t xml:space="preserve">Diesel, reduktionsplikt </t>
  </si>
  <si>
    <t>Datum då data hämtades</t>
  </si>
  <si>
    <t xml:space="preserve">*Emissionsfaktorer hämtas från Boverkets klimatdatabas och matas in ovan. </t>
  </si>
  <si>
    <t>Beräkning av klimatpåverkan från byggarbetsplatsen för småhus</t>
  </si>
  <si>
    <t>Livscykelmodul A5.2-A5.5</t>
  </si>
  <si>
    <t>Version 1.3</t>
  </si>
  <si>
    <t>Resultat exkl. markarbeten* (grävmaskin)</t>
  </si>
  <si>
    <t>*grävmaskin inkluderas ej i redovisningen, se mer info i flik instruktion.</t>
  </si>
  <si>
    <t>kg CO2e</t>
  </si>
  <si>
    <t>kg CO2e/månad</t>
  </si>
  <si>
    <t>kg CO2e/m2 BTA</t>
  </si>
  <si>
    <t xml:space="preserve"> A5.2-A5.5**</t>
  </si>
  <si>
    <t>**inkl. 25% påslag, se mer info i flik instruktion.</t>
  </si>
  <si>
    <t>Egna justeringar***</t>
  </si>
  <si>
    <t>***där schablon används inkluderas 25% påslag, se mer info i flik instruktion.</t>
  </si>
  <si>
    <t>Fördelning av klimatpåverkan per resurstyp, egna justeringar</t>
  </si>
  <si>
    <t>Eldrivna maskiner och inomhusbelysning påverkar klimatpåverkan lite och därmed används alltid en schablon baserat på byggtid.</t>
  </si>
  <si>
    <t>Mängd per energibärare*</t>
  </si>
  <si>
    <t>Schablon**</t>
  </si>
  <si>
    <t>Resultat inkl. markarbeten (grävmaskin)</t>
  </si>
  <si>
    <t xml:space="preserve"> A5.2-A5.5*</t>
  </si>
  <si>
    <t>*inkl. 25% påslag, se mer info i flik instruktion.</t>
  </si>
  <si>
    <t>Egna justeringar**</t>
  </si>
  <si>
    <t>**där schablon används inkluderas 25% påslag, se mer info i flik instruktion.</t>
  </si>
  <si>
    <t>Allmän projektinformation</t>
  </si>
  <si>
    <t>Egna kommentarer</t>
  </si>
  <si>
    <t xml:space="preserve">Ansvarig person </t>
  </si>
  <si>
    <t>Förnamn Efternamn</t>
  </si>
  <si>
    <t>Projektnamn</t>
  </si>
  <si>
    <t>Projekt X</t>
  </si>
  <si>
    <t>Byggår</t>
  </si>
  <si>
    <t>20XX</t>
  </si>
  <si>
    <t>BTA</t>
  </si>
  <si>
    <r>
      <t>m</t>
    </r>
    <r>
      <rPr>
        <vertAlign val="superscript"/>
        <sz val="12"/>
        <color theme="1"/>
        <rFont val="Times New Roman"/>
        <family val="1"/>
      </rPr>
      <t>2</t>
    </r>
  </si>
  <si>
    <t>Byggtid</t>
  </si>
  <si>
    <t>månader</t>
  </si>
  <si>
    <t>Egna justeringar i indata</t>
  </si>
  <si>
    <t>Dieseldrivna maskiner</t>
  </si>
  <si>
    <t>Val av diesel</t>
  </si>
  <si>
    <t>Diesel, reduktionsplikt (2020)</t>
  </si>
  <si>
    <t>Lista</t>
  </si>
  <si>
    <t>Använd schablon</t>
  </si>
  <si>
    <t>Antal</t>
  </si>
  <si>
    <t>st</t>
  </si>
  <si>
    <t>Användning</t>
  </si>
  <si>
    <t>dagar</t>
  </si>
  <si>
    <t>Modell (MJ/h)</t>
  </si>
  <si>
    <t>Stor (900 MJ/h)</t>
  </si>
  <si>
    <t>veckor</t>
  </si>
  <si>
    <t>Grävlastare (324 MJ/h) (traktorgrävare)</t>
  </si>
  <si>
    <t>Bodar</t>
  </si>
  <si>
    <t>Personalbod</t>
  </si>
  <si>
    <t>Modell</t>
  </si>
  <si>
    <t>Normal</t>
  </si>
  <si>
    <t>Värmeluftsfläkt</t>
  </si>
  <si>
    <t xml:space="preserve">Antal </t>
  </si>
  <si>
    <t>Effekt (kW)</t>
  </si>
  <si>
    <t>Golvvärme</t>
  </si>
  <si>
    <t>Belysning</t>
  </si>
  <si>
    <t>Strålkastare standard (0,46 kW)</t>
  </si>
  <si>
    <t>Styrning (närvaro, astro)</t>
  </si>
  <si>
    <t>Antaganden</t>
  </si>
  <si>
    <t>Nedan följer antaganden angående genomförd beräkning.</t>
  </si>
  <si>
    <t>Allmänna antagande</t>
  </si>
  <si>
    <t>Antaganden för ursprunglig schablon</t>
  </si>
  <si>
    <t>Drift 8 h om dygnet, nyttjandegrad 0,4</t>
  </si>
  <si>
    <t>1 kran 900 MJ/h, 2 dagar</t>
  </si>
  <si>
    <t>Drift 8 h om dygnet 5 dagar i veckan, nyttjandegrad 0,7</t>
  </si>
  <si>
    <t>1 grävmaskin 324 MJ/h, 1 vecka</t>
  </si>
  <si>
    <t>Byggbod-Normal</t>
  </si>
  <si>
    <t>Baserad på genomsnittlig energianvändning per år</t>
  </si>
  <si>
    <t>1 normal byggbod 8500 kWh/år, hela byggtiden</t>
  </si>
  <si>
    <t>Byggbod-Energisnål</t>
  </si>
  <si>
    <t>1 energisnål byggbod 5500 kWh/år, hela byggtiden</t>
  </si>
  <si>
    <t>Drift 24 h om dygnet 7 dagar i veckan</t>
  </si>
  <si>
    <t>1 fläkt 9 kW, byggtiden minus 1 månad</t>
  </si>
  <si>
    <t>Drift 24 h om dygnet 7 dagar i veckan, vid användning av golvvärme antas denna ersätta värmluftsfläkten efter en månad in i byggtiden.</t>
  </si>
  <si>
    <t>Eldrivna maskiner</t>
  </si>
  <si>
    <t>Kompressor</t>
  </si>
  <si>
    <t>Drift 8 h om dygnet 5 dagar i veckan, nyttjandegrad 0,5</t>
  </si>
  <si>
    <t>1 kompressor 2 kW, 1 såg 2 kW, 10 st handverktyg 0.09 kW, byggtiden minus 1 månad</t>
  </si>
  <si>
    <t>Ger och kapsåg</t>
  </si>
  <si>
    <t>Batteridrivna handverktyg</t>
  </si>
  <si>
    <t>Ledstrips-standard</t>
  </si>
  <si>
    <t>Baserad på årlig energianvändning</t>
  </si>
  <si>
    <t>10 m 0.014 kW/m, byggtiden minus 1 månad</t>
  </si>
  <si>
    <t>Ledstrips-sensor</t>
  </si>
  <si>
    <t>Boj-standard</t>
  </si>
  <si>
    <t>10 st 0.021 kW/st, byggtiden minus 1 månad</t>
  </si>
  <si>
    <t>Boj-sensor</t>
  </si>
  <si>
    <t>Utomhusbelysning-armatur</t>
  </si>
  <si>
    <t>400W Metallhalogen</t>
  </si>
  <si>
    <t>4 st 0.46 kW/st, hela byggtiden</t>
  </si>
  <si>
    <t>Nordic Brick</t>
  </si>
  <si>
    <t>Connect Nordic Brick-närvaro + astrostyrd</t>
  </si>
  <si>
    <t>Beräkning gav klimatpåverkan från byggarbetsplatsen</t>
  </si>
  <si>
    <t>Kontrollsiffra = 0 vin inmatning av samma data som schablon 5.2-5.5</t>
  </si>
  <si>
    <t>Schablon A5.2-A5.5 exkl. grävmaskin</t>
  </si>
  <si>
    <t>Ink. påslag för konservativa värden</t>
  </si>
  <si>
    <t xml:space="preserve">Kontrollsiffra </t>
  </si>
  <si>
    <t>Schablon A5.2-A5.5 inkl. gravmaskin</t>
  </si>
  <si>
    <t>Egna justeringar exl. grävmaskin</t>
  </si>
  <si>
    <t>Egna justeringar inkl. grävmaskin</t>
  </si>
  <si>
    <t>Egna</t>
  </si>
  <si>
    <t>Schablon inkl 25%</t>
  </si>
  <si>
    <t>MJ</t>
  </si>
  <si>
    <t>Kwh</t>
  </si>
  <si>
    <t>Schablon</t>
  </si>
  <si>
    <t>m2</t>
  </si>
  <si>
    <t>Månader</t>
  </si>
  <si>
    <t>Mängd per energibärare</t>
  </si>
  <si>
    <t>kWh</t>
  </si>
  <si>
    <t>Antal  h</t>
  </si>
  <si>
    <t>Nyttjandegrad (h/h)</t>
  </si>
  <si>
    <t>Energianvändning</t>
  </si>
  <si>
    <t>Andel av totalt</t>
  </si>
  <si>
    <t>Kommentar</t>
  </si>
  <si>
    <t>Antagit 8 h om dygnet</t>
  </si>
  <si>
    <t>Summa</t>
  </si>
  <si>
    <t xml:space="preserve">Om diesel </t>
  </si>
  <si>
    <t>Om RME</t>
  </si>
  <si>
    <t>Antagit 8 h om dygnet 5 dagar i veckan</t>
  </si>
  <si>
    <t>Om Diesel</t>
  </si>
  <si>
    <t>Bränsle/el-åtgång</t>
  </si>
  <si>
    <t>kWh/år</t>
  </si>
  <si>
    <t>Användning utifrån årlig användning Cramo</t>
  </si>
  <si>
    <t>Antagit på 24 h om dygnet 7 dagar i veckan</t>
  </si>
  <si>
    <t>kW</t>
  </si>
  <si>
    <t>kW/st</t>
  </si>
  <si>
    <t>Nedan baserat på schablon utifrån Schablonberäknings-fliken</t>
  </si>
  <si>
    <t>inkl 25% påslag</t>
  </si>
  <si>
    <t>m</t>
  </si>
  <si>
    <t>kW/m</t>
  </si>
  <si>
    <t>Användning utifrån årlig användning Elbjörn</t>
  </si>
  <si>
    <t>OBS! Redigeras under fliken Listor</t>
  </si>
  <si>
    <t>Energibärare</t>
  </si>
  <si>
    <t>Klimatpåverkan</t>
  </si>
  <si>
    <t>OBS! Redigeras under fliken Emissionsfaktor</t>
  </si>
  <si>
    <t xml:space="preserve">*Även elmixen har väldigt stor påverkan på resultatet, kanske stämma av med resterande i projektet vilken elmix man bör använda? </t>
  </si>
  <si>
    <t xml:space="preserve">** s 106  https://energiforskmedia.blob.core.windows.net/media/17907/miljoefaktaboken-2011-vaermeforskrapport-1183.pdf </t>
  </si>
  <si>
    <t>Schablon A5.2-A5.5</t>
  </si>
  <si>
    <t>Fält för justeringar</t>
  </si>
  <si>
    <t>Denna fil är grundberäkningen för schablonberäkningen, om grundantaganden/åtgång för schablonen ska ändras görs det här</t>
  </si>
  <si>
    <t>Bränsle/elåtgång justeras i fliken "Listor" förutom för gulmarkerade fält</t>
  </si>
  <si>
    <t>Resultat inkl. grävmaskin</t>
  </si>
  <si>
    <t>25 % påslag</t>
  </si>
  <si>
    <t>exkl påslag</t>
  </si>
  <si>
    <t>inkl 25%</t>
  </si>
  <si>
    <t>Totalt</t>
  </si>
  <si>
    <t>Totalt per månad</t>
  </si>
  <si>
    <t>Allmänna uppgifter</t>
  </si>
  <si>
    <t>Diesel är exkl grävmaskin</t>
  </si>
  <si>
    <t>Exkl. grävmaskin</t>
  </si>
  <si>
    <t>Inkl. grävmaskin</t>
  </si>
  <si>
    <t>Nyttjandegrad (h)h</t>
  </si>
  <si>
    <t>kg CO2e inkl 25% påslag</t>
  </si>
  <si>
    <t>MJ/h</t>
  </si>
  <si>
    <t>Ändring vid val av indata för nedstående kategorier görs här, se även flik "Schablonberäkningar A52-A5.5" för övriga ändringar kopplade till schablonberäkningen samt "Emissionsfaktorer" för ändring av dessa</t>
  </si>
  <si>
    <t>OBS! Endast gula fält får ändras, obervera därför val av enhet</t>
  </si>
  <si>
    <t>Listor</t>
  </si>
  <si>
    <t>Mobilkranar</t>
  </si>
  <si>
    <t>Namn</t>
  </si>
  <si>
    <t>Enhet</t>
  </si>
  <si>
    <t>Källa</t>
  </si>
  <si>
    <t>Liten (432 MJ/h)</t>
  </si>
  <si>
    <t>Miljödata arbetsfordon IVL</t>
  </si>
  <si>
    <t>Minigrävmaskin (86 MJ/h)</t>
  </si>
  <si>
    <t>Minigrävmaskin (126 MJ/h)</t>
  </si>
  <si>
    <t>Grävlastare (252 MJ/h) (traktorgrävare)</t>
  </si>
  <si>
    <t>Effekt</t>
  </si>
  <si>
    <t>Ramirent</t>
  </si>
  <si>
    <t>Energisnål*</t>
  </si>
  <si>
    <t>Elvärmare</t>
  </si>
  <si>
    <t>3 kW</t>
  </si>
  <si>
    <t>Elbjörn/intervju</t>
  </si>
  <si>
    <t>5 kW</t>
  </si>
  <si>
    <t>9kW</t>
  </si>
  <si>
    <t>Elbjörn</t>
  </si>
  <si>
    <t>18kW</t>
  </si>
  <si>
    <t>h</t>
  </si>
  <si>
    <t>Vanlig</t>
  </si>
  <si>
    <t>Strålkastare lågenergi (0,22 kW)</t>
  </si>
  <si>
    <t>Connect Nordic Brick</t>
  </si>
  <si>
    <t>Styrning (astro+närvaro)</t>
  </si>
  <si>
    <t>Ja/nej Frågor med asterix</t>
  </si>
  <si>
    <t>Ja*</t>
  </si>
  <si>
    <t>Ja/nej Frågor</t>
  </si>
  <si>
    <t>Ja/Schablon</t>
  </si>
  <si>
    <t>Egen indata</t>
  </si>
  <si>
    <t>Dessa värden ändras i fliken "Emissionsfaktorer"</t>
  </si>
  <si>
    <t>Energibärare-klimatpåverkan</t>
  </si>
  <si>
    <t>Boverket  Konservativ</t>
  </si>
  <si>
    <t>Klimatpåverkan inkl. grävmaskin</t>
  </si>
  <si>
    <t>Klimatpåverkan ekl. grävmaskin</t>
  </si>
  <si>
    <t>Källa:</t>
  </si>
  <si>
    <t>Från samtal med UE</t>
  </si>
  <si>
    <t>Ringt tre st UE och intervjuat om energianvändning byggarbetsplatsen</t>
  </si>
  <si>
    <t>M.E</t>
  </si>
  <si>
    <t>Martin Erlandsson indata från fil  "Miljödataarbetsfordon_IVL"</t>
  </si>
  <si>
    <t>Cramo</t>
  </si>
  <si>
    <t>Samtal med Renato Domenic på cramo</t>
  </si>
  <si>
    <t>Data Elbjörn</t>
  </si>
  <si>
    <t>"Elbjörnen_byggel_standardprojekt ljus"</t>
  </si>
  <si>
    <t>Mail Elbjörn</t>
  </si>
  <si>
    <t>Bifogat mail.</t>
  </si>
  <si>
    <t>Nyttjandegrad (h)</t>
  </si>
  <si>
    <t>-</t>
  </si>
  <si>
    <r>
      <t xml:space="preserve">Bodar </t>
    </r>
    <r>
      <rPr>
        <b/>
        <sz val="7"/>
        <color theme="1"/>
        <rFont val="Calibri"/>
        <family val="2"/>
        <scheme val="minor"/>
      </rPr>
      <t>(inkl. all energi för att driva boden)</t>
    </r>
  </si>
  <si>
    <r>
      <t xml:space="preserve">Uppvärmning </t>
    </r>
    <r>
      <rPr>
        <b/>
        <sz val="7"/>
        <color theme="1"/>
        <rFont val="Calibri"/>
        <family val="2"/>
        <scheme val="minor"/>
      </rPr>
      <t>(komfort+uttorkning)</t>
    </r>
  </si>
  <si>
    <t xml:space="preserve">Från samtal med UE </t>
  </si>
  <si>
    <t xml:space="preserve">Från samtal med UE samt mail Elbjörn </t>
  </si>
  <si>
    <t>Antagande</t>
  </si>
  <si>
    <t>Överdriven uppskattning</t>
  </si>
  <si>
    <t>Uppskattning utifrån Data Elbjörn</t>
  </si>
  <si>
    <t>Data Elbjörn + 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</si>
</sst>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
  </numFmts>
  <fonts count="36">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sz val="11"/>
      <color rgb="FF0070C0"/>
      <name val="Calibri"/>
      <family val="2"/>
      <scheme val="minor"/>
    </font>
    <font>
      <sz val="11"/>
      <name val="Calibri"/>
      <family val="2"/>
      <scheme val="minor"/>
    </font>
    <font>
      <b/>
      <sz val="11"/>
      <name val="Calibri"/>
      <family val="2"/>
      <scheme val="minor"/>
    </font>
    <font>
      <b/>
      <sz val="16"/>
      <color theme="1"/>
      <name val="Calibri"/>
      <family val="2"/>
      <scheme val="minor"/>
    </font>
    <font>
      <b/>
      <i/>
      <sz val="11"/>
      <color rgb="FFFF0000"/>
      <name val="Calibri"/>
      <family val="2"/>
      <scheme val="minor"/>
    </font>
    <font>
      <b/>
      <sz val="22"/>
      <color theme="1"/>
      <name val="Calibri"/>
      <family val="2"/>
      <scheme val="minor"/>
    </font>
    <font>
      <sz val="36"/>
      <color theme="1"/>
      <name val="Calibri"/>
      <family val="2"/>
      <scheme val="minor"/>
    </font>
    <font>
      <sz val="20"/>
      <color theme="1"/>
      <name val="Calibri"/>
      <family val="2"/>
      <scheme val="minor"/>
    </font>
    <font>
      <sz val="11"/>
      <color theme="1"/>
      <name val="Times New Roman"/>
      <family val="1"/>
    </font>
    <font>
      <sz val="28"/>
      <color theme="1"/>
      <name val="Times New Roman"/>
      <family val="1"/>
    </font>
    <font>
      <sz val="20"/>
      <color theme="1"/>
      <name val="Times New Roman"/>
      <family val="1"/>
    </font>
    <font>
      <b/>
      <sz val="16"/>
      <color theme="1"/>
      <name val="Times New Roman"/>
      <family val="1"/>
    </font>
    <font>
      <b/>
      <sz val="11"/>
      <color theme="1"/>
      <name val="Times New Roman"/>
      <family val="1"/>
    </font>
    <font>
      <b/>
      <sz val="22"/>
      <color theme="1"/>
      <name val="Times New Roman"/>
      <family val="1"/>
    </font>
    <font>
      <sz val="11"/>
      <name val="Times New Roman"/>
      <family val="1"/>
    </font>
    <font>
      <sz val="12"/>
      <color theme="1"/>
      <name val="Times New Roman"/>
      <family val="1"/>
    </font>
    <font>
      <i/>
      <sz val="16"/>
      <color theme="1"/>
      <name val="Times New Roman"/>
      <family val="1"/>
    </font>
    <font>
      <sz val="16"/>
      <color theme="1"/>
      <name val="Times New Roman"/>
      <family val="1"/>
    </font>
    <font>
      <sz val="14"/>
      <color theme="1"/>
      <name val="Times New Roman"/>
      <family val="1"/>
    </font>
    <font>
      <b/>
      <sz val="12"/>
      <color theme="1"/>
      <name val="Times New Roman"/>
      <family val="1"/>
    </font>
    <font>
      <sz val="12"/>
      <name val="Times New Roman"/>
      <family val="1"/>
    </font>
    <font>
      <sz val="22"/>
      <color theme="1"/>
      <name val="Times New Roman"/>
      <family val="1"/>
    </font>
    <font>
      <vertAlign val="superscript"/>
      <sz val="12"/>
      <color theme="1"/>
      <name val="Times New Roman"/>
      <family val="1"/>
    </font>
    <font>
      <b/>
      <sz val="7"/>
      <color theme="1"/>
      <name val="Calibri"/>
      <family val="2"/>
      <scheme val="minor"/>
    </font>
    <font>
      <b/>
      <sz val="15"/>
      <color rgb="FFFF0000"/>
      <name val="Calibri"/>
      <family val="2"/>
      <scheme val="minor"/>
    </font>
    <font>
      <b/>
      <sz val="12"/>
      <color rgb="FFFF0000"/>
      <name val="Calibri"/>
      <family val="2"/>
      <scheme val="minor"/>
    </font>
    <font>
      <sz val="8"/>
      <name val="Calibri"/>
      <family val="2"/>
      <scheme val="minor"/>
    </font>
    <font>
      <sz val="11"/>
      <color rgb="FFFF0000"/>
      <name val="Times New Roman"/>
      <family val="1"/>
    </font>
    <font>
      <sz val="9"/>
      <color theme="1"/>
      <name val="Times New Roman"/>
      <family val="1"/>
    </font>
    <font>
      <i/>
      <sz val="11"/>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258">
    <xf numFmtId="0" fontId="0" fillId="0" borderId="0" xfId="0"/>
    <xf numFmtId="0" fontId="0" fillId="3" borderId="0" xfId="0" applyFill="1"/>
    <xf numFmtId="0" fontId="2" fillId="3" borderId="0" xfId="0" applyFont="1" applyFill="1"/>
    <xf numFmtId="0" fontId="0" fillId="3" borderId="1" xfId="0" applyFill="1" applyBorder="1"/>
    <xf numFmtId="0" fontId="0" fillId="3" borderId="2" xfId="0" applyFill="1" applyBorder="1"/>
    <xf numFmtId="0" fontId="2" fillId="3" borderId="3" xfId="0" applyFont="1" applyFill="1" applyBorder="1"/>
    <xf numFmtId="2" fontId="0" fillId="3" borderId="1" xfId="0" applyNumberFormat="1" applyFill="1" applyBorder="1"/>
    <xf numFmtId="0" fontId="0" fillId="3" borderId="0" xfId="0" applyFill="1" applyAlignment="1"/>
    <xf numFmtId="10" fontId="0" fillId="3" borderId="0" xfId="1" applyNumberFormat="1" applyFont="1" applyFill="1"/>
    <xf numFmtId="0" fontId="0" fillId="3" borderId="1" xfId="0" applyFill="1" applyBorder="1" applyAlignment="1">
      <alignment horizontal="left" vertical="center"/>
    </xf>
    <xf numFmtId="0" fontId="3" fillId="3" borderId="0" xfId="0" applyFont="1" applyFill="1"/>
    <xf numFmtId="10" fontId="0" fillId="4" borderId="1" xfId="1" applyNumberFormat="1" applyFont="1" applyFill="1" applyBorder="1"/>
    <xf numFmtId="0" fontId="0" fillId="3" borderId="1" xfId="0" applyFill="1" applyBorder="1" applyAlignment="1">
      <alignment horizontal="left" vertical="center" wrapText="1"/>
    </xf>
    <xf numFmtId="0" fontId="2" fillId="3" borderId="1" xfId="0" applyFont="1" applyFill="1" applyBorder="1"/>
    <xf numFmtId="0" fontId="2" fillId="3" borderId="1" xfId="0" applyFont="1" applyFill="1" applyBorder="1" applyAlignment="1"/>
    <xf numFmtId="3" fontId="0" fillId="3" borderId="1" xfId="0" applyNumberFormat="1" applyFill="1" applyBorder="1"/>
    <xf numFmtId="10" fontId="0" fillId="5" borderId="1" xfId="1" applyNumberFormat="1" applyFont="1" applyFill="1" applyBorder="1"/>
    <xf numFmtId="0" fontId="7" fillId="3" borderId="1" xfId="0" applyFont="1" applyFill="1" applyBorder="1"/>
    <xf numFmtId="3" fontId="7" fillId="3" borderId="1" xfId="0" applyNumberFormat="1" applyFont="1" applyFill="1" applyBorder="1"/>
    <xf numFmtId="1" fontId="7" fillId="3" borderId="1" xfId="0" applyNumberFormat="1" applyFont="1" applyFill="1" applyBorder="1"/>
    <xf numFmtId="0" fontId="7" fillId="3" borderId="0" xfId="0" applyFont="1" applyFill="1"/>
    <xf numFmtId="0" fontId="8" fillId="3" borderId="1" xfId="0" applyFont="1" applyFill="1" applyBorder="1" applyAlignment="1"/>
    <xf numFmtId="0" fontId="8" fillId="3" borderId="1" xfId="0" applyFont="1" applyFill="1" applyBorder="1"/>
    <xf numFmtId="2" fontId="7" fillId="3" borderId="1" xfId="0" applyNumberFormat="1" applyFont="1" applyFill="1" applyBorder="1"/>
    <xf numFmtId="0" fontId="2" fillId="3" borderId="4" xfId="0" applyFont="1" applyFill="1" applyBorder="1" applyAlignment="1">
      <alignment horizontal="center"/>
    </xf>
    <xf numFmtId="0" fontId="2" fillId="3" borderId="5"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2" fillId="3" borderId="3" xfId="0" applyFont="1" applyFill="1" applyBorder="1" applyAlignment="1">
      <alignment horizontal="center"/>
    </xf>
    <xf numFmtId="0" fontId="0" fillId="3" borderId="0" xfId="0" applyFill="1" applyBorder="1"/>
    <xf numFmtId="0" fontId="7" fillId="3" borderId="0" xfId="0" applyFont="1" applyFill="1" applyBorder="1"/>
    <xf numFmtId="3" fontId="7" fillId="3" borderId="0" xfId="0" applyNumberFormat="1" applyFont="1" applyFill="1" applyBorder="1"/>
    <xf numFmtId="1" fontId="7" fillId="3" borderId="0" xfId="0" applyNumberFormat="1" applyFont="1" applyFill="1" applyBorder="1"/>
    <xf numFmtId="0" fontId="5" fillId="3" borderId="3" xfId="0" applyFont="1" applyFill="1" applyBorder="1" applyAlignment="1"/>
    <xf numFmtId="0" fontId="9" fillId="3" borderId="0" xfId="0" applyFont="1" applyFill="1"/>
    <xf numFmtId="0" fontId="0" fillId="3" borderId="0" xfId="0" applyFill="1" applyBorder="1" applyAlignment="1">
      <alignment horizontal="left" vertical="center" wrapText="1"/>
    </xf>
    <xf numFmtId="0" fontId="10" fillId="3" borderId="3" xfId="0" applyFont="1" applyFill="1" applyBorder="1" applyAlignment="1"/>
    <xf numFmtId="0" fontId="2" fillId="3" borderId="1" xfId="0" applyFont="1" applyFill="1" applyBorder="1" applyAlignment="1">
      <alignment horizontal="center"/>
    </xf>
    <xf numFmtId="0" fontId="5" fillId="3" borderId="0" xfId="0" applyFont="1" applyFill="1" applyBorder="1" applyAlignment="1"/>
    <xf numFmtId="0" fontId="2" fillId="3" borderId="4" xfId="0" applyFont="1" applyFill="1" applyBorder="1" applyAlignment="1"/>
    <xf numFmtId="0" fontId="2" fillId="3" borderId="5" xfId="0" applyFont="1" applyFill="1" applyBorder="1" applyAlignment="1"/>
    <xf numFmtId="0" fontId="8" fillId="3" borderId="4" xfId="0" applyFont="1" applyFill="1" applyBorder="1" applyAlignment="1"/>
    <xf numFmtId="0" fontId="8" fillId="3" borderId="5" xfId="0" applyFont="1" applyFill="1" applyBorder="1" applyAlignment="1"/>
    <xf numFmtId="0" fontId="0" fillId="3" borderId="0" xfId="0" applyFill="1" applyAlignment="1">
      <alignment horizontal="center"/>
    </xf>
    <xf numFmtId="0" fontId="8" fillId="3" borderId="1" xfId="0" applyFont="1" applyFill="1" applyBorder="1" applyAlignment="1">
      <alignment horizontal="center"/>
    </xf>
    <xf numFmtId="0" fontId="2" fillId="3" borderId="0" xfId="0" applyFont="1" applyFill="1" applyBorder="1" applyAlignment="1">
      <alignment horizontal="center"/>
    </xf>
    <xf numFmtId="0" fontId="11" fillId="3" borderId="0" xfId="0" applyFont="1" applyFill="1"/>
    <xf numFmtId="0" fontId="12" fillId="3" borderId="0" xfId="0" applyFont="1" applyFill="1"/>
    <xf numFmtId="0" fontId="13" fillId="3" borderId="0" xfId="0" applyFont="1" applyFill="1"/>
    <xf numFmtId="0" fontId="2" fillId="3" borderId="0" xfId="0" applyFont="1" applyFill="1" applyBorder="1"/>
    <xf numFmtId="0" fontId="0" fillId="3" borderId="0" xfId="0" applyFont="1" applyFill="1" applyBorder="1" applyAlignment="1"/>
    <xf numFmtId="0" fontId="0" fillId="3" borderId="0" xfId="0" applyFont="1" applyFill="1" applyBorder="1"/>
    <xf numFmtId="0" fontId="0" fillId="3" borderId="0" xfId="0" applyFill="1" applyBorder="1" applyAlignment="1">
      <alignment horizontal="left" vertical="center"/>
    </xf>
    <xf numFmtId="0" fontId="2" fillId="3" borderId="0" xfId="0" applyFont="1" applyFill="1" applyBorder="1" applyAlignment="1"/>
    <xf numFmtId="2" fontId="0" fillId="3" borderId="0" xfId="0" applyNumberFormat="1" applyFill="1" applyBorder="1"/>
    <xf numFmtId="2" fontId="7" fillId="3" borderId="0" xfId="0" applyNumberFormat="1" applyFont="1" applyFill="1" applyBorder="1"/>
    <xf numFmtId="0" fontId="0" fillId="3" borderId="0" xfId="0" applyFont="1" applyFill="1"/>
    <xf numFmtId="10" fontId="0" fillId="3" borderId="0" xfId="1" applyNumberFormat="1" applyFont="1" applyFill="1" applyBorder="1"/>
    <xf numFmtId="165" fontId="0" fillId="3" borderId="0" xfId="0" applyNumberFormat="1" applyFill="1"/>
    <xf numFmtId="1" fontId="0" fillId="3" borderId="0" xfId="0" applyNumberFormat="1" applyFill="1"/>
    <xf numFmtId="0" fontId="0" fillId="7" borderId="0" xfId="0" applyFill="1" applyBorder="1"/>
    <xf numFmtId="0" fontId="7" fillId="7" borderId="0" xfId="0" applyFont="1" applyFill="1" applyBorder="1"/>
    <xf numFmtId="0" fontId="14" fillId="3" borderId="0" xfId="0" applyFont="1" applyFill="1"/>
    <xf numFmtId="0" fontId="14" fillId="4" borderId="0" xfId="0" applyFont="1" applyFill="1"/>
    <xf numFmtId="0" fontId="15" fillId="3" borderId="0" xfId="0" applyFont="1" applyFill="1"/>
    <xf numFmtId="0" fontId="17" fillId="3" borderId="0" xfId="0" applyFont="1" applyFill="1"/>
    <xf numFmtId="0" fontId="14" fillId="3" borderId="0" xfId="0" applyFont="1" applyFill="1" applyBorder="1"/>
    <xf numFmtId="0" fontId="18" fillId="3" borderId="0" xfId="0" applyFont="1" applyFill="1" applyBorder="1"/>
    <xf numFmtId="0" fontId="18" fillId="3" borderId="0" xfId="0" applyFont="1" applyFill="1" applyBorder="1" applyAlignment="1"/>
    <xf numFmtId="0" fontId="14" fillId="3" borderId="4" xfId="0" applyFont="1" applyFill="1" applyBorder="1"/>
    <xf numFmtId="0" fontId="14" fillId="3" borderId="14" xfId="0" applyFont="1" applyFill="1" applyBorder="1"/>
    <xf numFmtId="0" fontId="14" fillId="3" borderId="5" xfId="0" applyFont="1" applyFill="1" applyBorder="1"/>
    <xf numFmtId="0" fontId="14" fillId="3" borderId="1" xfId="0" applyFont="1" applyFill="1" applyBorder="1"/>
    <xf numFmtId="0" fontId="18" fillId="3" borderId="0" xfId="0" applyFont="1" applyFill="1"/>
    <xf numFmtId="0" fontId="14" fillId="6" borderId="4" xfId="0" applyFont="1" applyFill="1" applyBorder="1"/>
    <xf numFmtId="0" fontId="14" fillId="6" borderId="5" xfId="0" applyFont="1" applyFill="1" applyBorder="1"/>
    <xf numFmtId="0" fontId="14" fillId="8" borderId="4" xfId="0" applyFont="1" applyFill="1" applyBorder="1"/>
    <xf numFmtId="0" fontId="14" fillId="8" borderId="5" xfId="0" applyFont="1" applyFill="1" applyBorder="1"/>
    <xf numFmtId="0" fontId="14" fillId="9" borderId="4" xfId="0" applyFont="1" applyFill="1" applyBorder="1"/>
    <xf numFmtId="0" fontId="14" fillId="9" borderId="5" xfId="0" applyFont="1" applyFill="1" applyBorder="1"/>
    <xf numFmtId="0" fontId="14" fillId="3" borderId="1" xfId="0" applyFont="1" applyFill="1" applyBorder="1" applyAlignment="1">
      <alignment horizontal="center"/>
    </xf>
    <xf numFmtId="0" fontId="18" fillId="3" borderId="1" xfId="0" applyFont="1" applyFill="1" applyBorder="1"/>
    <xf numFmtId="9" fontId="0" fillId="3" borderId="0" xfId="1" applyFont="1" applyFill="1"/>
    <xf numFmtId="0" fontId="0" fillId="10" borderId="0" xfId="0" applyFill="1"/>
    <xf numFmtId="1" fontId="0" fillId="10" borderId="0" xfId="0" applyNumberFormat="1" applyFill="1" applyBorder="1"/>
    <xf numFmtId="0" fontId="0" fillId="10" borderId="0" xfId="0" applyFill="1" applyBorder="1"/>
    <xf numFmtId="0" fontId="0" fillId="3" borderId="0" xfId="0" applyFill="1" applyAlignment="1">
      <alignment vertical="top" wrapText="1"/>
    </xf>
    <xf numFmtId="0" fontId="30" fillId="3" borderId="0" xfId="0" applyFont="1" applyFill="1" applyAlignment="1"/>
    <xf numFmtId="1" fontId="5" fillId="3" borderId="0" xfId="0" applyNumberFormat="1" applyFont="1" applyFill="1"/>
    <xf numFmtId="0" fontId="31" fillId="3" borderId="0" xfId="0" applyFont="1" applyFill="1"/>
    <xf numFmtId="0" fontId="14" fillId="3" borderId="1" xfId="0" applyFont="1" applyFill="1" applyBorder="1" applyAlignment="1">
      <alignment horizontal="left" vertical="top"/>
    </xf>
    <xf numFmtId="10" fontId="14" fillId="3" borderId="1" xfId="1" applyNumberFormat="1" applyFont="1" applyFill="1" applyBorder="1" applyAlignment="1">
      <alignment wrapText="1"/>
    </xf>
    <xf numFmtId="0" fontId="14" fillId="3" borderId="0" xfId="0" applyFont="1" applyFill="1" applyAlignment="1">
      <alignment wrapText="1"/>
    </xf>
    <xf numFmtId="0" fontId="18" fillId="3" borderId="1" xfId="0" applyFont="1" applyFill="1" applyBorder="1" applyAlignment="1">
      <alignment wrapText="1"/>
    </xf>
    <xf numFmtId="10" fontId="14" fillId="3" borderId="0" xfId="1" applyNumberFormat="1" applyFont="1" applyFill="1" applyAlignment="1">
      <alignment wrapText="1"/>
    </xf>
    <xf numFmtId="0" fontId="14" fillId="3" borderId="1" xfId="0" applyFont="1" applyFill="1" applyBorder="1" applyAlignment="1">
      <alignment horizontal="left" vertical="center"/>
    </xf>
    <xf numFmtId="10" fontId="14" fillId="3" borderId="1" xfId="1" applyNumberFormat="1" applyFont="1" applyFill="1" applyBorder="1" applyAlignment="1">
      <alignment vertical="top" wrapText="1"/>
    </xf>
    <xf numFmtId="0" fontId="14" fillId="3" borderId="1" xfId="0" applyFont="1" applyFill="1" applyBorder="1" applyAlignment="1">
      <alignment horizontal="left" vertical="center" wrapText="1"/>
    </xf>
    <xf numFmtId="3" fontId="0" fillId="3" borderId="0" xfId="0" applyNumberFormat="1" applyFill="1"/>
    <xf numFmtId="0" fontId="14" fillId="3" borderId="0" xfId="0" applyFont="1" applyFill="1" applyAlignment="1">
      <alignment horizontal="left" vertical="top" wrapText="1"/>
    </xf>
    <xf numFmtId="0" fontId="25" fillId="6" borderId="0" xfId="0" applyFont="1" applyFill="1" applyAlignment="1" applyProtection="1">
      <alignment horizontal="center"/>
      <protection locked="0"/>
    </xf>
    <xf numFmtId="3" fontId="25" fillId="6" borderId="0" xfId="0" applyNumberFormat="1" applyFont="1" applyFill="1" applyBorder="1" applyAlignment="1" applyProtection="1">
      <alignment horizontal="center"/>
      <protection locked="0"/>
    </xf>
    <xf numFmtId="0" fontId="21" fillId="6" borderId="0" xfId="0" applyFont="1" applyFill="1" applyProtection="1">
      <protection locked="0"/>
    </xf>
    <xf numFmtId="0" fontId="21" fillId="6" borderId="0" xfId="0" applyFont="1" applyFill="1" applyBorder="1" applyProtection="1">
      <protection locked="0"/>
    </xf>
    <xf numFmtId="0" fontId="26" fillId="6" borderId="0" xfId="0" applyFont="1" applyFill="1" applyBorder="1" applyProtection="1">
      <protection locked="0"/>
    </xf>
    <xf numFmtId="0" fontId="14" fillId="3" borderId="0" xfId="0" applyFont="1" applyFill="1" applyProtection="1"/>
    <xf numFmtId="0" fontId="14" fillId="3" borderId="0" xfId="0" applyFont="1" applyFill="1" applyBorder="1" applyProtection="1"/>
    <xf numFmtId="0" fontId="14" fillId="4" borderId="0" xfId="0" applyFont="1" applyFill="1" applyProtection="1"/>
    <xf numFmtId="0" fontId="21" fillId="3" borderId="0" xfId="0" applyFont="1" applyFill="1" applyBorder="1" applyProtection="1"/>
    <xf numFmtId="0" fontId="21" fillId="3" borderId="0" xfId="0" applyFont="1" applyFill="1" applyBorder="1" applyAlignment="1" applyProtection="1"/>
    <xf numFmtId="0" fontId="25" fillId="3" borderId="0" xfId="0" applyFont="1" applyFill="1" applyBorder="1" applyAlignment="1" applyProtection="1">
      <alignment horizontal="center"/>
    </xf>
    <xf numFmtId="0" fontId="25" fillId="3" borderId="0" xfId="0" applyFont="1" applyFill="1" applyBorder="1" applyProtection="1"/>
    <xf numFmtId="0" fontId="23" fillId="3" borderId="0" xfId="0" applyFont="1" applyFill="1" applyProtection="1"/>
    <xf numFmtId="0" fontId="25" fillId="3" borderId="0" xfId="0" applyFont="1" applyFill="1" applyBorder="1" applyAlignment="1" applyProtection="1"/>
    <xf numFmtId="0" fontId="21" fillId="3" borderId="0" xfId="0" applyFont="1" applyFill="1" applyProtection="1"/>
    <xf numFmtId="0" fontId="20" fillId="3" borderId="0" xfId="0" applyFont="1" applyFill="1" applyBorder="1" applyProtection="1"/>
    <xf numFmtId="0" fontId="17" fillId="3" borderId="0" xfId="0" applyFont="1" applyFill="1" applyProtection="1"/>
    <xf numFmtId="0" fontId="26" fillId="3" borderId="0" xfId="0" applyFont="1" applyFill="1" applyBorder="1" applyProtection="1"/>
    <xf numFmtId="0" fontId="25" fillId="3" borderId="0" xfId="0" applyFont="1" applyFill="1" applyProtection="1"/>
    <xf numFmtId="0" fontId="18" fillId="3" borderId="0" xfId="0" applyFont="1" applyFill="1" applyProtection="1"/>
    <xf numFmtId="0" fontId="27" fillId="3" borderId="0" xfId="0" applyFont="1" applyFill="1" applyProtection="1"/>
    <xf numFmtId="0" fontId="19" fillId="3" borderId="0" xfId="0" applyFont="1" applyFill="1" applyProtection="1"/>
    <xf numFmtId="0" fontId="23" fillId="3" borderId="0" xfId="0" applyFont="1" applyFill="1" applyBorder="1" applyProtection="1"/>
    <xf numFmtId="0" fontId="15" fillId="3" borderId="0" xfId="0" applyFont="1" applyFill="1" applyProtection="1"/>
    <xf numFmtId="0" fontId="16" fillId="3" borderId="0" xfId="0" applyFont="1" applyFill="1" applyProtection="1"/>
    <xf numFmtId="0" fontId="34" fillId="3" borderId="0" xfId="0" applyFont="1" applyFill="1" applyBorder="1" applyAlignment="1" applyProtection="1">
      <alignment vertical="top"/>
    </xf>
    <xf numFmtId="0" fontId="24" fillId="3" borderId="0" xfId="0" applyFont="1" applyFill="1" applyBorder="1" applyProtection="1"/>
    <xf numFmtId="0" fontId="24" fillId="3" borderId="0" xfId="0" applyFont="1" applyFill="1" applyAlignment="1" applyProtection="1">
      <alignment horizontal="center"/>
    </xf>
    <xf numFmtId="0" fontId="24" fillId="3" borderId="0" xfId="0" applyFont="1" applyFill="1" applyProtection="1"/>
    <xf numFmtId="3" fontId="24" fillId="8" borderId="0" xfId="0" applyNumberFormat="1" applyFont="1" applyFill="1" applyBorder="1" applyAlignment="1" applyProtection="1">
      <alignment horizontal="center"/>
    </xf>
    <xf numFmtId="0" fontId="21" fillId="3" borderId="1" xfId="0" applyFont="1" applyFill="1" applyBorder="1" applyProtection="1"/>
    <xf numFmtId="9" fontId="21" fillId="3" borderId="1" xfId="1" applyFont="1" applyFill="1" applyBorder="1" applyProtection="1"/>
    <xf numFmtId="9" fontId="14" fillId="3" borderId="0" xfId="0" applyNumberFormat="1" applyFont="1" applyFill="1" applyProtection="1"/>
    <xf numFmtId="0" fontId="14" fillId="3" borderId="0" xfId="0" applyFont="1" applyFill="1" applyAlignment="1" applyProtection="1">
      <alignment wrapText="1"/>
    </xf>
    <xf numFmtId="0" fontId="18" fillId="3" borderId="0" xfId="0" applyFont="1" applyFill="1" applyBorder="1" applyProtection="1"/>
    <xf numFmtId="0" fontId="14" fillId="3" borderId="1" xfId="0" applyFont="1" applyFill="1" applyBorder="1" applyProtection="1"/>
    <xf numFmtId="1" fontId="14" fillId="3" borderId="1" xfId="0" applyNumberFormat="1" applyFont="1" applyFill="1" applyBorder="1" applyProtection="1"/>
    <xf numFmtId="0" fontId="34" fillId="3" borderId="0" xfId="0" applyFont="1" applyFill="1" applyBorder="1" applyProtection="1"/>
    <xf numFmtId="9" fontId="21" fillId="3" borderId="1" xfId="0" applyNumberFormat="1" applyFont="1" applyFill="1" applyBorder="1" applyProtection="1"/>
    <xf numFmtId="0" fontId="14" fillId="3" borderId="0" xfId="0" applyFont="1" applyFill="1" applyBorder="1" applyAlignment="1" applyProtection="1">
      <alignment wrapText="1"/>
    </xf>
    <xf numFmtId="3" fontId="14" fillId="3" borderId="0" xfId="0" applyNumberFormat="1" applyFont="1" applyFill="1" applyBorder="1" applyProtection="1"/>
    <xf numFmtId="0" fontId="22" fillId="3" borderId="0" xfId="0" applyFont="1" applyFill="1" applyProtection="1"/>
    <xf numFmtId="166" fontId="14" fillId="6" borderId="1" xfId="0" applyNumberFormat="1" applyFont="1" applyFill="1" applyBorder="1" applyProtection="1">
      <protection locked="0"/>
    </xf>
    <xf numFmtId="14" fontId="14" fillId="6" borderId="1" xfId="0" applyNumberFormat="1" applyFont="1" applyFill="1" applyBorder="1" applyProtection="1">
      <protection locked="0"/>
    </xf>
    <xf numFmtId="0" fontId="0" fillId="4" borderId="0" xfId="0" applyFill="1" applyProtection="1"/>
    <xf numFmtId="14" fontId="0" fillId="4" borderId="0" xfId="0" applyNumberFormat="1" applyFill="1" applyProtection="1"/>
    <xf numFmtId="0" fontId="14" fillId="3" borderId="3" xfId="0" applyFont="1" applyFill="1" applyBorder="1" applyAlignment="1" applyProtection="1"/>
    <xf numFmtId="3" fontId="0" fillId="11" borderId="0" xfId="0" applyNumberFormat="1" applyFill="1" applyBorder="1"/>
    <xf numFmtId="0" fontId="0" fillId="3" borderId="0" xfId="0" applyFill="1" applyProtection="1">
      <protection locked="0"/>
    </xf>
    <xf numFmtId="0" fontId="0" fillId="3" borderId="1" xfId="0" applyFill="1" applyBorder="1" applyProtection="1">
      <protection locked="0"/>
    </xf>
    <xf numFmtId="0" fontId="5" fillId="3" borderId="0" xfId="0" applyFont="1" applyFill="1" applyProtection="1">
      <protection locked="0"/>
    </xf>
    <xf numFmtId="0" fontId="0" fillId="3" borderId="0" xfId="0" applyFill="1" applyBorder="1" applyProtection="1">
      <protection locked="0"/>
    </xf>
    <xf numFmtId="0" fontId="3" fillId="3" borderId="0" xfId="0" applyFont="1" applyFill="1" applyProtection="1">
      <protection locked="0"/>
    </xf>
    <xf numFmtId="0" fontId="2" fillId="3" borderId="0" xfId="0" applyFont="1" applyFill="1" applyProtection="1">
      <protection locked="0"/>
    </xf>
    <xf numFmtId="0" fontId="0" fillId="2" borderId="1" xfId="0" applyFill="1" applyBorder="1" applyProtection="1">
      <protection locked="0"/>
    </xf>
    <xf numFmtId="0" fontId="30" fillId="3" borderId="0" xfId="0" applyFont="1" applyFill="1" applyAlignment="1" applyProtection="1">
      <protection locked="0"/>
    </xf>
    <xf numFmtId="0" fontId="5" fillId="3" borderId="3" xfId="0" applyFont="1" applyFill="1" applyBorder="1" applyAlignment="1" applyProtection="1">
      <protection locked="0"/>
    </xf>
    <xf numFmtId="0" fontId="7" fillId="3" borderId="1" xfId="0" applyFont="1" applyFill="1" applyBorder="1" applyProtection="1">
      <protection locked="0"/>
    </xf>
    <xf numFmtId="0" fontId="7" fillId="2" borderId="1" xfId="0" applyFont="1" applyFill="1" applyBorder="1" applyProtection="1">
      <protection locked="0"/>
    </xf>
    <xf numFmtId="3" fontId="0" fillId="2" borderId="1" xfId="0" applyNumberFormat="1" applyFill="1" applyBorder="1" applyProtection="1">
      <protection locked="0"/>
    </xf>
    <xf numFmtId="0" fontId="0" fillId="3" borderId="1" xfId="0" applyFill="1" applyBorder="1" applyAlignment="1" applyProtection="1">
      <alignment horizontal="left" vertical="center"/>
      <protection locked="0"/>
    </xf>
    <xf numFmtId="2" fontId="7" fillId="2" borderId="1" xfId="0" applyNumberFormat="1" applyFont="1" applyFill="1" applyBorder="1" applyProtection="1">
      <protection locked="0"/>
    </xf>
    <xf numFmtId="164" fontId="0" fillId="2" borderId="1" xfId="0" applyNumberFormat="1" applyFill="1" applyBorder="1" applyProtection="1">
      <protection locked="0"/>
    </xf>
    <xf numFmtId="0" fontId="0" fillId="3" borderId="0" xfId="0" applyFill="1" applyProtection="1"/>
    <xf numFmtId="3" fontId="7" fillId="3" borderId="1" xfId="0" applyNumberFormat="1" applyFont="1" applyFill="1" applyBorder="1" applyProtection="1"/>
    <xf numFmtId="0" fontId="7" fillId="3" borderId="1" xfId="0" applyFont="1" applyFill="1" applyBorder="1" applyProtection="1"/>
    <xf numFmtId="1" fontId="7" fillId="3" borderId="1" xfId="0" applyNumberFormat="1" applyFont="1" applyFill="1" applyBorder="1" applyProtection="1"/>
    <xf numFmtId="9" fontId="7" fillId="4" borderId="1" xfId="1" applyFont="1" applyFill="1" applyBorder="1" applyProtection="1"/>
    <xf numFmtId="10" fontId="0" fillId="4" borderId="1" xfId="1" applyNumberFormat="1" applyFont="1" applyFill="1" applyBorder="1" applyProtection="1"/>
    <xf numFmtId="10" fontId="0" fillId="5" borderId="1" xfId="1" applyNumberFormat="1" applyFont="1" applyFill="1" applyBorder="1" applyProtection="1"/>
    <xf numFmtId="0" fontId="0" fillId="3" borderId="1" xfId="0" applyFill="1" applyBorder="1" applyProtection="1"/>
    <xf numFmtId="2" fontId="0" fillId="3" borderId="1" xfId="0" applyNumberFormat="1" applyFill="1" applyBorder="1" applyProtection="1"/>
    <xf numFmtId="0" fontId="0" fillId="3" borderId="1" xfId="0" applyFill="1" applyBorder="1" applyAlignment="1" applyProtection="1">
      <alignment horizontal="left" vertical="center"/>
    </xf>
    <xf numFmtId="0" fontId="0" fillId="3" borderId="1" xfId="0" applyFill="1" applyBorder="1" applyAlignment="1" applyProtection="1">
      <alignment horizontal="left" vertical="center" wrapText="1"/>
    </xf>
    <xf numFmtId="0" fontId="7" fillId="3" borderId="0" xfId="0" applyFont="1" applyFill="1" applyProtection="1"/>
    <xf numFmtId="0" fontId="2" fillId="3" borderId="1" xfId="0" applyFont="1" applyFill="1" applyBorder="1" applyProtection="1"/>
    <xf numFmtId="0" fontId="8" fillId="3" borderId="1" xfId="0" applyFont="1" applyFill="1" applyBorder="1" applyAlignment="1" applyProtection="1"/>
    <xf numFmtId="0" fontId="8" fillId="3" borderId="5" xfId="0" applyFont="1" applyFill="1" applyBorder="1" applyAlignment="1" applyProtection="1">
      <alignment horizontal="center"/>
    </xf>
    <xf numFmtId="167" fontId="7" fillId="4" borderId="1" xfId="1" applyNumberFormat="1" applyFont="1" applyFill="1" applyBorder="1" applyProtection="1"/>
    <xf numFmtId="10" fontId="0" fillId="3" borderId="0" xfId="1" applyNumberFormat="1" applyFont="1" applyFill="1" applyProtection="1"/>
    <xf numFmtId="10" fontId="7" fillId="4" borderId="1" xfId="1" applyNumberFormat="1" applyFont="1" applyFill="1" applyBorder="1" applyProtection="1"/>
    <xf numFmtId="0" fontId="6" fillId="3" borderId="0" xfId="0" applyFont="1" applyFill="1" applyProtection="1"/>
    <xf numFmtId="3" fontId="0" fillId="3" borderId="1" xfId="0" applyNumberFormat="1" applyFill="1" applyBorder="1" applyProtection="1"/>
    <xf numFmtId="0" fontId="7" fillId="0" borderId="1" xfId="0" applyFont="1" applyFill="1" applyBorder="1" applyProtection="1"/>
    <xf numFmtId="0" fontId="2" fillId="3" borderId="3" xfId="0" applyFont="1" applyFill="1" applyBorder="1" applyProtection="1"/>
    <xf numFmtId="0" fontId="0" fillId="3" borderId="2" xfId="0" applyFill="1" applyBorder="1" applyProtection="1"/>
    <xf numFmtId="0" fontId="5" fillId="3" borderId="0" xfId="0" applyFont="1" applyFill="1" applyProtection="1"/>
    <xf numFmtId="0" fontId="0" fillId="3" borderId="0" xfId="0" applyFill="1" applyAlignment="1" applyProtection="1"/>
    <xf numFmtId="0" fontId="0" fillId="3" borderId="0" xfId="0" applyFill="1" applyBorder="1" applyProtection="1"/>
    <xf numFmtId="0" fontId="0" fillId="3" borderId="3" xfId="0" applyFill="1" applyBorder="1" applyAlignment="1" applyProtection="1">
      <alignment vertical="top" wrapText="1"/>
    </xf>
    <xf numFmtId="0" fontId="0" fillId="3" borderId="3" xfId="0" applyFill="1" applyBorder="1" applyAlignment="1" applyProtection="1"/>
    <xf numFmtId="0" fontId="0" fillId="3" borderId="3" xfId="0" applyFill="1" applyBorder="1" applyProtection="1"/>
    <xf numFmtId="0" fontId="0" fillId="3" borderId="0" xfId="0" applyFill="1" applyAlignment="1" applyProtection="1">
      <alignment vertical="top" wrapText="1"/>
    </xf>
    <xf numFmtId="0" fontId="3" fillId="3" borderId="0" xfId="0" applyFont="1" applyFill="1" applyProtection="1"/>
    <xf numFmtId="0" fontId="2" fillId="3" borderId="0" xfId="0" applyFont="1" applyFill="1" applyProtection="1"/>
    <xf numFmtId="0" fontId="0" fillId="2" borderId="1" xfId="0" applyFill="1" applyBorder="1" applyProtection="1"/>
    <xf numFmtId="0" fontId="30" fillId="3" borderId="0" xfId="0" applyFont="1" applyFill="1" applyAlignment="1" applyProtection="1"/>
    <xf numFmtId="0" fontId="0" fillId="4" borderId="1" xfId="0" applyFill="1" applyBorder="1" applyProtection="1"/>
    <xf numFmtId="3" fontId="0" fillId="4" borderId="1" xfId="0" applyNumberFormat="1" applyFill="1" applyBorder="1" applyProtection="1"/>
    <xf numFmtId="3" fontId="0" fillId="3" borderId="0" xfId="0" applyNumberFormat="1" applyFill="1" applyProtection="1"/>
    <xf numFmtId="3" fontId="0" fillId="0" borderId="1" xfId="0" applyNumberFormat="1" applyFill="1" applyBorder="1" applyProtection="1"/>
    <xf numFmtId="0" fontId="35" fillId="3" borderId="0" xfId="0" applyFont="1" applyFill="1" applyProtection="1"/>
    <xf numFmtId="0" fontId="5" fillId="3" borderId="3" xfId="0" applyFont="1" applyFill="1" applyBorder="1" applyAlignment="1" applyProtection="1"/>
    <xf numFmtId="0" fontId="4" fillId="3" borderId="0" xfId="0" applyFont="1" applyFill="1" applyProtection="1"/>
    <xf numFmtId="0" fontId="2" fillId="3" borderId="5" xfId="0" applyFont="1" applyFill="1" applyBorder="1" applyAlignment="1" applyProtection="1">
      <alignment horizontal="center"/>
    </xf>
    <xf numFmtId="0" fontId="0" fillId="3" borderId="12" xfId="0" applyFill="1" applyBorder="1" applyProtection="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vertical="center"/>
      <protection locked="0"/>
    </xf>
    <xf numFmtId="0" fontId="0" fillId="3" borderId="0" xfId="0" applyFill="1" applyBorder="1" applyAlignment="1" applyProtection="1">
      <alignment horizontal="left" vertical="center" wrapText="1"/>
      <protection locked="0"/>
    </xf>
    <xf numFmtId="1" fontId="0" fillId="3" borderId="1" xfId="0" applyNumberFormat="1" applyFill="1" applyBorder="1" applyProtection="1">
      <protection locked="0"/>
    </xf>
    <xf numFmtId="0" fontId="2" fillId="3" borderId="3" xfId="0" applyFont="1" applyFill="1" applyBorder="1" applyAlignment="1" applyProtection="1">
      <protection locked="0"/>
    </xf>
    <xf numFmtId="166" fontId="0" fillId="3" borderId="1" xfId="0" applyNumberFormat="1" applyFill="1" applyBorder="1" applyAlignment="1" applyProtection="1">
      <alignment horizontal="left" vertical="center"/>
      <protection locked="0"/>
    </xf>
    <xf numFmtId="0" fontId="14" fillId="3" borderId="0" xfId="0" applyFont="1" applyFill="1" applyAlignment="1">
      <alignment horizontal="left" vertical="top" wrapText="1"/>
    </xf>
    <xf numFmtId="0" fontId="14" fillId="3" borderId="1" xfId="0" applyFont="1" applyFill="1" applyBorder="1" applyAlignment="1" applyProtection="1">
      <alignment horizontal="left"/>
    </xf>
    <xf numFmtId="0" fontId="23" fillId="6" borderId="0" xfId="0" applyFont="1" applyFill="1" applyAlignment="1" applyProtection="1">
      <alignment horizontal="center" vertical="top"/>
      <protection locked="0"/>
    </xf>
    <xf numFmtId="0" fontId="14" fillId="6" borderId="1" xfId="0" applyFont="1" applyFill="1" applyBorder="1" applyAlignment="1" applyProtection="1">
      <alignment horizontal="left"/>
    </xf>
    <xf numFmtId="0" fontId="14" fillId="8" borderId="1" xfId="0" applyFont="1" applyFill="1" applyBorder="1" applyAlignment="1" applyProtection="1">
      <alignment horizontal="left"/>
    </xf>
    <xf numFmtId="0" fontId="14" fillId="9" borderId="1" xfId="0" applyFont="1" applyFill="1" applyBorder="1" applyAlignment="1" applyProtection="1">
      <alignment horizontal="left"/>
    </xf>
    <xf numFmtId="0" fontId="14" fillId="3" borderId="0" xfId="0" applyFont="1" applyFill="1" applyAlignment="1" applyProtection="1">
      <alignment horizontal="left" wrapText="1"/>
    </xf>
    <xf numFmtId="10" fontId="14" fillId="3" borderId="4" xfId="1" applyNumberFormat="1" applyFont="1" applyFill="1" applyBorder="1" applyAlignment="1">
      <alignment horizontal="left" vertical="top" wrapText="1"/>
    </xf>
    <xf numFmtId="10" fontId="14" fillId="3" borderId="5" xfId="1" applyNumberFormat="1" applyFont="1" applyFill="1" applyBorder="1" applyAlignment="1">
      <alignment horizontal="left" vertical="top" wrapText="1"/>
    </xf>
    <xf numFmtId="0" fontId="18" fillId="3" borderId="4" xfId="0" applyFont="1" applyFill="1" applyBorder="1" applyAlignment="1">
      <alignment horizontal="center" wrapText="1"/>
    </xf>
    <xf numFmtId="0" fontId="18" fillId="3" borderId="5" xfId="0" applyFont="1" applyFill="1" applyBorder="1" applyAlignment="1">
      <alignment horizontal="center" wrapText="1"/>
    </xf>
    <xf numFmtId="10" fontId="14" fillId="3" borderId="6" xfId="1" applyNumberFormat="1" applyFont="1" applyFill="1" applyBorder="1" applyAlignment="1">
      <alignment horizontal="left" vertical="top" wrapText="1"/>
    </xf>
    <xf numFmtId="10" fontId="14" fillId="3" borderId="8" xfId="1" applyNumberFormat="1" applyFont="1" applyFill="1" applyBorder="1" applyAlignment="1">
      <alignment horizontal="left" vertical="top" wrapText="1"/>
    </xf>
    <xf numFmtId="10" fontId="14" fillId="3" borderId="15" xfId="1" applyNumberFormat="1" applyFont="1" applyFill="1" applyBorder="1" applyAlignment="1">
      <alignment horizontal="left" vertical="top" wrapText="1"/>
    </xf>
    <xf numFmtId="10" fontId="14" fillId="3" borderId="9" xfId="1" applyNumberFormat="1" applyFont="1" applyFill="1" applyBorder="1" applyAlignment="1">
      <alignment horizontal="left" vertical="top" wrapText="1"/>
    </xf>
    <xf numFmtId="10" fontId="14" fillId="3" borderId="10" xfId="1" applyNumberFormat="1" applyFont="1" applyFill="1" applyBorder="1" applyAlignment="1">
      <alignment horizontal="left" vertical="top" wrapText="1"/>
    </xf>
    <xf numFmtId="10" fontId="14" fillId="3" borderId="11" xfId="1" applyNumberFormat="1" applyFont="1" applyFill="1" applyBorder="1" applyAlignment="1">
      <alignment horizontal="left" vertical="top" wrapText="1"/>
    </xf>
    <xf numFmtId="0" fontId="18" fillId="3" borderId="4" xfId="0" applyFont="1" applyFill="1" applyBorder="1" applyAlignment="1">
      <alignment horizontal="center"/>
    </xf>
    <xf numFmtId="0" fontId="18" fillId="3" borderId="5" xfId="0" applyFont="1" applyFill="1" applyBorder="1" applyAlignment="1">
      <alignment horizontal="center"/>
    </xf>
    <xf numFmtId="10" fontId="14" fillId="3" borderId="12" xfId="1" applyNumberFormat="1" applyFont="1" applyFill="1" applyBorder="1" applyAlignment="1">
      <alignment horizontal="left" vertical="center" wrapText="1"/>
    </xf>
    <xf numFmtId="10" fontId="14" fillId="3" borderId="13" xfId="1" applyNumberFormat="1" applyFont="1" applyFill="1" applyBorder="1" applyAlignment="1">
      <alignment horizontal="left" vertical="center" wrapText="1"/>
    </xf>
    <xf numFmtId="10" fontId="14" fillId="3" borderId="2" xfId="1" applyNumberFormat="1" applyFont="1" applyFill="1" applyBorder="1" applyAlignment="1">
      <alignment horizontal="left" vertical="center" wrapText="1"/>
    </xf>
    <xf numFmtId="0" fontId="0" fillId="3" borderId="0" xfId="0" applyFill="1" applyAlignment="1">
      <alignment horizontal="left" vertical="top" wrapText="1"/>
    </xf>
    <xf numFmtId="0" fontId="2" fillId="3" borderId="3" xfId="0" applyFont="1" applyFill="1" applyBorder="1" applyAlignment="1" applyProtection="1">
      <alignment horizontal="center"/>
    </xf>
    <xf numFmtId="0" fontId="2" fillId="3" borderId="4" xfId="0" applyFont="1" applyFill="1" applyBorder="1" applyAlignment="1" applyProtection="1">
      <alignment horizontal="center"/>
    </xf>
    <xf numFmtId="0" fontId="2" fillId="3" borderId="5" xfId="0" applyFont="1" applyFill="1" applyBorder="1" applyAlignment="1" applyProtection="1">
      <alignment horizontal="center"/>
    </xf>
    <xf numFmtId="0" fontId="0" fillId="3" borderId="3" xfId="0" applyFill="1" applyBorder="1" applyAlignment="1" applyProtection="1">
      <alignment horizontal="left" vertical="top" wrapText="1"/>
    </xf>
    <xf numFmtId="0" fontId="0" fillId="3" borderId="0" xfId="0" applyFill="1" applyAlignment="1" applyProtection="1">
      <alignment horizontal="left" vertical="top" wrapText="1"/>
    </xf>
    <xf numFmtId="0" fontId="8" fillId="3" borderId="4" xfId="0" applyFont="1" applyFill="1" applyBorder="1" applyAlignment="1" applyProtection="1">
      <alignment horizontal="center"/>
    </xf>
    <xf numFmtId="0" fontId="8" fillId="3" borderId="5" xfId="0" applyFont="1" applyFill="1" applyBorder="1" applyAlignment="1" applyProtection="1">
      <alignment horizontal="center"/>
    </xf>
    <xf numFmtId="0" fontId="0" fillId="3" borderId="4" xfId="0" applyFill="1" applyBorder="1" applyAlignment="1" applyProtection="1">
      <alignment horizontal="center" wrapText="1"/>
      <protection locked="0"/>
    </xf>
    <xf numFmtId="0" fontId="0" fillId="3" borderId="5" xfId="0" applyFill="1" applyBorder="1" applyAlignment="1" applyProtection="1">
      <alignment horizontal="center" wrapText="1"/>
      <protection locked="0"/>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0"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2" xfId="0" applyFill="1" applyBorder="1" applyAlignment="1">
      <alignment horizontal="center" vertic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2" xfId="0" applyFill="1" applyBorder="1" applyAlignment="1">
      <alignment horizontal="center" vertical="center" wrapText="1"/>
    </xf>
  </cellXfs>
  <cellStyles count="2">
    <cellStyle name="Normal" xfId="0" builtinId="0"/>
    <cellStyle name="Percent" xfId="1" builtinId="5"/>
  </cellStyles>
  <dxfs count="7">
    <dxf>
      <fill>
        <patternFill>
          <bgColor theme="9" tint="0.59996337778862885"/>
        </patternFill>
      </fill>
    </dxf>
    <dxf>
      <font>
        <color theme="2" tint="-0.499984740745262"/>
      </font>
      <fill>
        <patternFill>
          <bgColor theme="2" tint="-9.9948118533890809E-2"/>
        </patternFill>
      </fill>
    </dxf>
    <dxf>
      <font>
        <color theme="2" tint="-0.499984740745262"/>
      </font>
      <fill>
        <patternFill>
          <bgColor theme="2" tint="-9.9948118533890809E-2"/>
        </patternFill>
      </fill>
    </dxf>
    <dxf>
      <font>
        <color theme="2" tint="-0.499984740745262"/>
      </font>
      <fill>
        <patternFill>
          <bgColor theme="2" tint="-9.9948118533890809E-2"/>
        </patternFill>
      </fill>
    </dxf>
    <dxf>
      <font>
        <color theme="2" tint="-0.499984740745262"/>
      </font>
      <fill>
        <patternFill>
          <bgColor theme="2" tint="-9.9948118533890809E-2"/>
        </patternFill>
      </fill>
    </dxf>
    <dxf>
      <font>
        <color theme="2" tint="-0.499984740745262"/>
      </font>
      <fill>
        <patternFill>
          <bgColor theme="2" tint="-9.9948118533890809E-2"/>
        </patternFill>
      </fill>
    </dxf>
    <dxf>
      <font>
        <color theme="2" tint="-0.499984740745262"/>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sv-SE" sz="1800"/>
              <a:t>Klimatpåverkan per</a:t>
            </a:r>
            <a:r>
              <a:rPr lang="sv-SE" sz="1800" baseline="0"/>
              <a:t> resurstyp, </a:t>
            </a:r>
          </a:p>
          <a:p>
            <a:pPr>
              <a:defRPr sz="1800"/>
            </a:pPr>
            <a:r>
              <a:rPr lang="sv-SE" sz="1800" baseline="0"/>
              <a:t>egna justeringar</a:t>
            </a:r>
            <a:endParaRPr lang="sv-SE" sz="1800"/>
          </a:p>
        </c:rich>
      </c:tx>
      <c:layout>
        <c:manualLayout>
          <c:xMode val="edge"/>
          <c:yMode val="edge"/>
          <c:x val="0.23886264216972877"/>
          <c:y val="2.8063255663406918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2E-4718-AA41-8DF24CB4C4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2E-4718-AA41-8DF24CB4C4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2E-4718-AA41-8DF24CB4C4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2E-4718-AA41-8DF24CB4C44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92E-4718-AA41-8DF24CB4C44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92E-4718-AA41-8DF24CB4C44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92E-4718-AA41-8DF24CB4C44B}"/>
              </c:ext>
            </c:extLst>
          </c:dPt>
          <c:dLbls>
            <c:dLbl>
              <c:idx val="0"/>
              <c:layout>
                <c:manualLayout>
                  <c:x val="3.7172516497001934E-3"/>
                  <c:y val="1.390472792319905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2E-4718-AA41-8DF24CB4C44B}"/>
                </c:ext>
              </c:extLst>
            </c:dLbl>
            <c:dLbl>
              <c:idx val="1"/>
              <c:layout>
                <c:manualLayout>
                  <c:x val="1.2781846528751293E-3"/>
                  <c:y val="-2.568708316120948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2E-4718-AA41-8DF24CB4C44B}"/>
                </c:ext>
              </c:extLst>
            </c:dLbl>
            <c:dLbl>
              <c:idx val="2"/>
              <c:layout>
                <c:manualLayout>
                  <c:x val="-3.0750149575729806E-3"/>
                  <c:y val="-1.045847836660101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2E-4718-AA41-8DF24CB4C44B}"/>
                </c:ext>
              </c:extLst>
            </c:dLbl>
            <c:dLbl>
              <c:idx val="3"/>
              <c:layout>
                <c:manualLayout>
                  <c:x val="-1.3006493988584205E-2"/>
                  <c:y val="-3.788164213151019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2E-4718-AA41-8DF24CB4C44B}"/>
                </c:ext>
              </c:extLst>
            </c:dLbl>
            <c:dLbl>
              <c:idx val="5"/>
              <c:layout>
                <c:manualLayout>
                  <c:x val="9.2649007143443072E-3"/>
                  <c:y val="-8.814845533211898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92E-4718-AA41-8DF24CB4C44B}"/>
                </c:ext>
              </c:extLst>
            </c:dLbl>
            <c:dLbl>
              <c:idx val="6"/>
              <c:layout>
                <c:manualLayout>
                  <c:x val="2.3123927312746474E-2"/>
                  <c:y val="-4.6122738426650524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92E-4718-AA41-8DF24CB4C44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'Klimatpåverkan per energianvänd'!$C$13:$C$19</c:f>
              <c:strCache>
                <c:ptCount val="7"/>
                <c:pt idx="0">
                  <c:v>Mobilkran</c:v>
                </c:pt>
                <c:pt idx="1">
                  <c:v>Grävmaskin</c:v>
                </c:pt>
                <c:pt idx="2">
                  <c:v>Personalbod</c:v>
                </c:pt>
                <c:pt idx="3">
                  <c:v>Värmeluftsfläkt</c:v>
                </c:pt>
                <c:pt idx="4">
                  <c:v>Eldrivna maskiner</c:v>
                </c:pt>
                <c:pt idx="5">
                  <c:v>Inomhusbelysning</c:v>
                </c:pt>
                <c:pt idx="6">
                  <c:v>Utomhusbelysning</c:v>
                </c:pt>
              </c:strCache>
            </c:strRef>
          </c:cat>
          <c:val>
            <c:numRef>
              <c:f>'Klimatpåverkan per energianvänd'!$D$13:$D$19</c:f>
              <c:numCache>
                <c:formatCode>0%</c:formatCode>
                <c:ptCount val="7"/>
                <c:pt idx="0">
                  <c:v>0.15144960431373344</c:v>
                </c:pt>
                <c:pt idx="1">
                  <c:v>0.23853312679413019</c:v>
                </c:pt>
                <c:pt idx="2">
                  <c:v>5.5128357125774505E-2</c:v>
                </c:pt>
                <c:pt idx="3">
                  <c:v>0.42610977213686879</c:v>
                </c:pt>
                <c:pt idx="4">
                  <c:v>2.7542559599308517E-2</c:v>
                </c:pt>
                <c:pt idx="5">
                  <c:v>1.4499568635212897E-2</c:v>
                </c:pt>
                <c:pt idx="6">
                  <c:v>8.6737011394971517E-2</c:v>
                </c:pt>
              </c:numCache>
            </c:numRef>
          </c:val>
          <c:extLst>
            <c:ext xmlns:c16="http://schemas.microsoft.com/office/drawing/2014/chart" uri="{C3380CC4-5D6E-409C-BE32-E72D297353CC}">
              <c16:uniqueId val="{0000000E-E92E-4718-AA41-8DF24CB4C44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sv-SE" sz="1800"/>
              <a:t>Klimatpåverkan per</a:t>
            </a:r>
            <a:r>
              <a:rPr lang="sv-SE" sz="1800" baseline="0"/>
              <a:t> energianvändare</a:t>
            </a:r>
            <a:endParaRPr lang="sv-SE"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F95-4007-94CD-DE4947863F49}"/>
              </c:ext>
            </c:extLst>
          </c:dPt>
          <c:dPt>
            <c:idx val="1"/>
            <c:bubble3D val="0"/>
            <c:spPr>
              <a:solidFill>
                <a:schemeClr val="accent2"/>
              </a:solidFill>
              <a:ln w="19050">
                <a:solidFill>
                  <a:schemeClr val="lt1"/>
                </a:solidFill>
              </a:ln>
              <a:effectLst/>
            </c:spPr>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3-1F95-4007-94CD-DE4947863F4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1F95-4007-94CD-DE4947863F4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1F95-4007-94CD-DE4947863F4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9-1F95-4007-94CD-DE4947863F49}"/>
              </c:ext>
            </c:extLst>
          </c:dPt>
          <c:dPt>
            <c:idx val="6"/>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B-1F95-4007-94CD-DE4947863F49}"/>
              </c:ext>
            </c:extLst>
          </c:dPt>
          <c:dLbls>
            <c:dLbl>
              <c:idx val="0"/>
              <c:layout>
                <c:manualLayout>
                  <c:x val="8.2778182138997323E-3"/>
                  <c:y val="1.790584420902898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95-4007-94CD-DE4947863F49}"/>
                </c:ext>
              </c:extLst>
            </c:dLbl>
            <c:dLbl>
              <c:idx val="2"/>
              <c:layout>
                <c:manualLayout>
                  <c:x val="1.8763360462295074E-2"/>
                  <c:y val="4.731407869338564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95-4007-94CD-DE4947863F49}"/>
                </c:ext>
              </c:extLst>
            </c:dLbl>
            <c:dLbl>
              <c:idx val="4"/>
              <c:layout>
                <c:manualLayout>
                  <c:x val="-2.5165442554974788E-2"/>
                  <c:y val="1.680087611163212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95-4007-94CD-DE4947863F49}"/>
                </c:ext>
              </c:extLst>
            </c:dLbl>
            <c:dLbl>
              <c:idx val="6"/>
              <c:layout>
                <c:manualLayout>
                  <c:x val="1.5358786034098678E-2"/>
                  <c:y val="1.509696169513423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F95-4007-94CD-DE4947863F4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'Klimatpåverkan per energianvänd'!$C$13:$C$19</c15:sqref>
                  </c15:fullRef>
                </c:ext>
              </c:extLst>
              <c:f>('Klimatpåverkan per energianvänd'!$C$13,'Klimatpåverkan per energianvänd'!$C$15:$C$19)</c:f>
              <c:strCache>
                <c:ptCount val="6"/>
                <c:pt idx="0">
                  <c:v>Mobilkran</c:v>
                </c:pt>
                <c:pt idx="1">
                  <c:v>Personalbod</c:v>
                </c:pt>
                <c:pt idx="2">
                  <c:v>Värmeluftsfläkt</c:v>
                </c:pt>
                <c:pt idx="3">
                  <c:v>Eldrivna maskiner</c:v>
                </c:pt>
                <c:pt idx="4">
                  <c:v>Inomhusbelysning</c:v>
                </c:pt>
                <c:pt idx="5">
                  <c:v>Utomhusbelysning</c:v>
                </c:pt>
              </c:strCache>
            </c:strRef>
          </c:cat>
          <c:val>
            <c:numRef>
              <c:extLst>
                <c:ext xmlns:c15="http://schemas.microsoft.com/office/drawing/2012/chart" uri="{02D57815-91ED-43cb-92C2-25804820EDAC}">
                  <c15:fullRef>
                    <c15:sqref>'Klimatpåverkan per energianvänd'!$N$13:$N$19</c15:sqref>
                  </c15:fullRef>
                </c:ext>
              </c:extLst>
              <c:f>('Klimatpåverkan per energianvänd'!$N$13,'Klimatpåverkan per energianvänd'!$N$15:$N$19)</c:f>
              <c:numCache>
                <c:formatCode>General</c:formatCode>
                <c:ptCount val="6"/>
                <c:pt idx="0" formatCode="0%">
                  <c:v>0.19889191459651018</c:v>
                </c:pt>
                <c:pt idx="1" formatCode="0%">
                  <c:v>7.2397577709030617E-2</c:v>
                </c:pt>
                <c:pt idx="2" formatCode="0%">
                  <c:v>0.55959068888038954</c:v>
                </c:pt>
                <c:pt idx="3" formatCode="0%">
                  <c:v>3.6170397647570587E-2</c:v>
                </c:pt>
                <c:pt idx="4" formatCode="0%">
                  <c:v>1.9041627607735478E-2</c:v>
                </c:pt>
                <c:pt idx="5" formatCode="0%">
                  <c:v>0.11390779355876374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1F95-4007-94CD-DE4947863F4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sv-SE" sz="1800"/>
              <a:t>Klimatpåverkan per</a:t>
            </a:r>
            <a:r>
              <a:rPr lang="sv-SE" sz="1800" baseline="0"/>
              <a:t> energianvändare</a:t>
            </a:r>
            <a:endParaRPr lang="sv-SE"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B6C2-4DCF-9D40-8F182E7BD9F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6C2-4DCF-9D40-8F182E7BD9F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B6C2-4DCF-9D40-8F182E7BD9F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B6C2-4DCF-9D40-8F182E7BD9F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3C9-4D30-AB8A-20B44C9835B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3C9-4D30-AB8A-20B44C9835B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B6C2-4DCF-9D40-8F182E7BD9F1}"/>
              </c:ext>
            </c:extLst>
          </c:dPt>
          <c:dLbls>
            <c:dLbl>
              <c:idx val="0"/>
              <c:layout>
                <c:manualLayout>
                  <c:x val="3.7172516497001934E-3"/>
                  <c:y val="1.390472792319905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C2-4DCF-9D40-8F182E7BD9F1}"/>
                </c:ext>
              </c:extLst>
            </c:dLbl>
            <c:dLbl>
              <c:idx val="1"/>
              <c:layout>
                <c:manualLayout>
                  <c:x val="1.2781846528751293E-3"/>
                  <c:y val="-2.568708316120948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C2-4DCF-9D40-8F182E7BD9F1}"/>
                </c:ext>
              </c:extLst>
            </c:dLbl>
            <c:dLbl>
              <c:idx val="2"/>
              <c:layout>
                <c:manualLayout>
                  <c:x val="-3.0750149575729806E-3"/>
                  <c:y val="-1.045847836660101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C2-4DCF-9D40-8F182E7BD9F1}"/>
                </c:ext>
              </c:extLst>
            </c:dLbl>
            <c:dLbl>
              <c:idx val="3"/>
              <c:layout>
                <c:manualLayout>
                  <c:x val="-1.3006493988584205E-2"/>
                  <c:y val="-3.788164213151019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C2-4DCF-9D40-8F182E7BD9F1}"/>
                </c:ext>
              </c:extLst>
            </c:dLbl>
            <c:dLbl>
              <c:idx val="6"/>
              <c:layout>
                <c:manualLayout>
                  <c:x val="2.3123927312746474E-2"/>
                  <c:y val="-4.6122738426650524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C2-4DCF-9D40-8F182E7BD9F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'Klimatpåverkan per energianvänd'!$C$13:$C$19</c:f>
              <c:strCache>
                <c:ptCount val="7"/>
                <c:pt idx="0">
                  <c:v>Mobilkran</c:v>
                </c:pt>
                <c:pt idx="1">
                  <c:v>Grävmaskin</c:v>
                </c:pt>
                <c:pt idx="2">
                  <c:v>Personalbod</c:v>
                </c:pt>
                <c:pt idx="3">
                  <c:v>Värmeluftsfläkt</c:v>
                </c:pt>
                <c:pt idx="4">
                  <c:v>Eldrivna maskiner</c:v>
                </c:pt>
                <c:pt idx="5">
                  <c:v>Inomhusbelysning</c:v>
                </c:pt>
                <c:pt idx="6">
                  <c:v>Utomhusbelysning</c:v>
                </c:pt>
              </c:strCache>
            </c:strRef>
          </c:cat>
          <c:val>
            <c:numRef>
              <c:f>'Klimatpåverkan per energianvänd'!$D$13:$D$19</c:f>
              <c:numCache>
                <c:formatCode>0%</c:formatCode>
                <c:ptCount val="7"/>
                <c:pt idx="0">
                  <c:v>0.15144960431373344</c:v>
                </c:pt>
                <c:pt idx="1">
                  <c:v>0.23853312679413019</c:v>
                </c:pt>
                <c:pt idx="2">
                  <c:v>5.5128357125774505E-2</c:v>
                </c:pt>
                <c:pt idx="3">
                  <c:v>0.42610977213686879</c:v>
                </c:pt>
                <c:pt idx="4">
                  <c:v>2.7542559599308517E-2</c:v>
                </c:pt>
                <c:pt idx="5">
                  <c:v>1.4499568635212897E-2</c:v>
                </c:pt>
                <c:pt idx="6">
                  <c:v>8.6737011394971517E-2</c:v>
                </c:pt>
              </c:numCache>
            </c:numRef>
          </c:val>
          <c:extLst>
            <c:ext xmlns:c16="http://schemas.microsoft.com/office/drawing/2014/chart" uri="{C3380CC4-5D6E-409C-BE32-E72D297353CC}">
              <c16:uniqueId val="{00000000-B6C2-4DCF-9D40-8F182E7BD9F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sv-SE" sz="1800"/>
              <a:t>Klimatpåverkan per</a:t>
            </a:r>
            <a:r>
              <a:rPr lang="sv-SE" sz="1800" baseline="0"/>
              <a:t> energianvändare</a:t>
            </a:r>
            <a:endParaRPr lang="sv-SE"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F57-4084-B8F9-89C176C79103}"/>
              </c:ext>
            </c:extLst>
          </c:dPt>
          <c:dPt>
            <c:idx val="1"/>
            <c:bubble3D val="0"/>
            <c:spPr>
              <a:solidFill>
                <a:schemeClr val="accent2"/>
              </a:solidFill>
              <a:ln w="19050">
                <a:solidFill>
                  <a:schemeClr val="lt1"/>
                </a:solidFill>
              </a:ln>
              <a:effectLst/>
            </c:spPr>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1F57-4084-B8F9-89C176C7910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F57-4084-B8F9-89C176C7910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F57-4084-B8F9-89C176C7910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F57-4084-B8F9-89C176C79103}"/>
              </c:ext>
            </c:extLst>
          </c:dPt>
          <c:dPt>
            <c:idx val="6"/>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D-1F57-4084-B8F9-89C176C79103}"/>
              </c:ext>
            </c:extLst>
          </c:dPt>
          <c:dLbls>
            <c:dLbl>
              <c:idx val="0"/>
              <c:layout>
                <c:manualLayout>
                  <c:x val="8.2778182138997323E-3"/>
                  <c:y val="1.790584420902898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57-4084-B8F9-89C176C79103}"/>
                </c:ext>
              </c:extLst>
            </c:dLbl>
            <c:dLbl>
              <c:idx val="2"/>
              <c:layout>
                <c:manualLayout>
                  <c:x val="1.8763360462295074E-2"/>
                  <c:y val="4.731407869338564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57-4084-B8F9-89C176C79103}"/>
                </c:ext>
              </c:extLst>
            </c:dLbl>
            <c:dLbl>
              <c:idx val="4"/>
              <c:layout>
                <c:manualLayout>
                  <c:x val="-2.5165442554974788E-2"/>
                  <c:y val="1.680087611163212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F57-4084-B8F9-89C176C79103}"/>
                </c:ext>
              </c:extLst>
            </c:dLbl>
            <c:dLbl>
              <c:idx val="6"/>
              <c:layout>
                <c:manualLayout>
                  <c:x val="1.5358786034098678E-2"/>
                  <c:y val="1.509696169513423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F57-4084-B8F9-89C176C7910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'Klimatpåverkan per energianvänd'!$C$13:$C$19</c15:sqref>
                  </c15:fullRef>
                </c:ext>
              </c:extLst>
              <c:f>('Klimatpåverkan per energianvänd'!$C$13,'Klimatpåverkan per energianvänd'!$C$15:$C$19)</c:f>
              <c:strCache>
                <c:ptCount val="6"/>
                <c:pt idx="0">
                  <c:v>Mobilkran</c:v>
                </c:pt>
                <c:pt idx="1">
                  <c:v>Personalbod</c:v>
                </c:pt>
                <c:pt idx="2">
                  <c:v>Värmeluftsfläkt</c:v>
                </c:pt>
                <c:pt idx="3">
                  <c:v>Eldrivna maskiner</c:v>
                </c:pt>
                <c:pt idx="4">
                  <c:v>Inomhusbelysning</c:v>
                </c:pt>
                <c:pt idx="5">
                  <c:v>Utomhusbelysning</c:v>
                </c:pt>
              </c:strCache>
            </c:strRef>
          </c:cat>
          <c:val>
            <c:numRef>
              <c:extLst>
                <c:ext xmlns:c15="http://schemas.microsoft.com/office/drawing/2012/chart" uri="{02D57815-91ED-43cb-92C2-25804820EDAC}">
                  <c15:fullRef>
                    <c15:sqref>'Klimatpåverkan per energianvänd'!$N$13:$N$19</c15:sqref>
                  </c15:fullRef>
                </c:ext>
              </c:extLst>
              <c:f>('Klimatpåverkan per energianvänd'!$N$13,'Klimatpåverkan per energianvänd'!$N$15:$N$19)</c:f>
              <c:numCache>
                <c:formatCode>General</c:formatCode>
                <c:ptCount val="6"/>
                <c:pt idx="0" formatCode="0%">
                  <c:v>0.19889191459651018</c:v>
                </c:pt>
                <c:pt idx="1" formatCode="0%">
                  <c:v>7.2397577709030617E-2</c:v>
                </c:pt>
                <c:pt idx="2" formatCode="0%">
                  <c:v>0.55959068888038954</c:v>
                </c:pt>
                <c:pt idx="3" formatCode="0%">
                  <c:v>3.6170397647570587E-2</c:v>
                </c:pt>
                <c:pt idx="4" formatCode="0%">
                  <c:v>1.9041627607735478E-2</c:v>
                </c:pt>
                <c:pt idx="5" formatCode="0%">
                  <c:v>0.11390779355876374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E-1F57-4084-B8F9-89C176C7910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558165</xdr:colOff>
      <xdr:row>50</xdr:row>
      <xdr:rowOff>101782</xdr:rowOff>
    </xdr:from>
    <xdr:to>
      <xdr:col>4</xdr:col>
      <xdr:colOff>478155</xdr:colOff>
      <xdr:row>72</xdr:row>
      <xdr:rowOff>101780</xdr:rowOff>
    </xdr:to>
    <xdr:graphicFrame macro="">
      <xdr:nvGraphicFramePr>
        <xdr:cNvPr id="2" name="Chart 1">
          <a:extLst>
            <a:ext uri="{FF2B5EF4-FFF2-40B4-BE49-F238E27FC236}">
              <a16:creationId xmlns:a16="http://schemas.microsoft.com/office/drawing/2014/main" id="{C268EF3E-9F58-45EF-A9D7-3C98D11BE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484908</xdr:colOff>
      <xdr:row>21</xdr:row>
      <xdr:rowOff>69273</xdr:rowOff>
    </xdr:from>
    <xdr:to>
      <xdr:col>4</xdr:col>
      <xdr:colOff>939511</xdr:colOff>
      <xdr:row>37</xdr:row>
      <xdr:rowOff>67109</xdr:rowOff>
    </xdr:to>
    <xdr:graphicFrame macro="">
      <xdr:nvGraphicFramePr>
        <xdr:cNvPr id="5" name="Chart 4">
          <a:extLst>
            <a:ext uri="{FF2B5EF4-FFF2-40B4-BE49-F238E27FC236}">
              <a16:creationId xmlns:a16="http://schemas.microsoft.com/office/drawing/2014/main" id="{A4DDB71E-AA50-4377-B385-901245B8A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476249</xdr:colOff>
      <xdr:row>22</xdr:row>
      <xdr:rowOff>42861</xdr:rowOff>
    </xdr:from>
    <xdr:to>
      <xdr:col>10</xdr:col>
      <xdr:colOff>28574</xdr:colOff>
      <xdr:row>39</xdr:row>
      <xdr:rowOff>161924</xdr:rowOff>
    </xdr:to>
    <xdr:graphicFrame macro="">
      <xdr:nvGraphicFramePr>
        <xdr:cNvPr id="3" name="Chart 2">
          <a:extLst>
            <a:ext uri="{FF2B5EF4-FFF2-40B4-BE49-F238E27FC236}">
              <a16:creationId xmlns:a16="http://schemas.microsoft.com/office/drawing/2014/main" id="{55AD308F-F2A5-4B49-8404-982DE2DB41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476249</xdr:colOff>
      <xdr:row>22</xdr:row>
      <xdr:rowOff>42861</xdr:rowOff>
    </xdr:from>
    <xdr:to>
      <xdr:col>20</xdr:col>
      <xdr:colOff>28574</xdr:colOff>
      <xdr:row>39</xdr:row>
      <xdr:rowOff>161924</xdr:rowOff>
    </xdr:to>
    <xdr:graphicFrame macro="">
      <xdr:nvGraphicFramePr>
        <xdr:cNvPr id="4" name="Chart 3">
          <a:extLst>
            <a:ext uri="{FF2B5EF4-FFF2-40B4-BE49-F238E27FC236}">
              <a16:creationId xmlns:a16="http://schemas.microsoft.com/office/drawing/2014/main" id="{EF43F156-BD28-4497-98D8-E4193300D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Frida Görman" id="{766E1B4C-A180-4561-9E3B-38AE9DC5DBB7}" userId="S::Frida.Gorman@ivl.se::2a02e035-7404-45c2-8e4c-95afa69912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9" dT="2020-11-17T12:11:04.97" personId="{766E1B4C-A180-4561-9E3B-38AE9DC5DBB7}" id="{EA87E717-3DD7-49C2-8A4E-5B21D3DDBC3F}">
    <text>Antar 1 månad för grunden och resterande för att bygga huset ovan mark</text>
  </threadedComment>
  <threadedComment ref="D34" dT="2020-11-17T11:58:40.01" personId="{766E1B4C-A180-4561-9E3B-38AE9DC5DBB7}" id="{B5BC3194-856E-4E6F-99DC-3EE366001161}">
    <text>Antal från rundringning (förrutm batteridrivna handverktyg, denna siffra har överdrivits.</text>
  </threadedComment>
  <threadedComment ref="K34" dT="2020-11-17T12:31:21.34" personId="{766E1B4C-A180-4561-9E3B-38AE9DC5DBB7}" id="{83559C87-B51D-4103-A5F9-8278C4AC4C3C}">
    <text>Nyttjandegrad högt räknad</text>
  </threadedComment>
  <threadedComment ref="K37" dT="2020-11-10T13:24:39.92" personId="{766E1B4C-A180-4561-9E3B-38AE9DC5DBB7}" id="{0ECBEECA-231E-4812-8237-F3C7382D215B}">
    <text>Väldigt grovt räknat att projektet har lika många batterier som maskiner och att helften hela tiden är på laddning (under arbetstid på 8 h).</text>
  </threadedComment>
  <threadedComment ref="D39" dT="2020-11-17T11:59:14.62" personId="{766E1B4C-A180-4561-9E3B-38AE9DC5DBB7}" id="{73A05782-E5E1-40F0-95B1-2A737B90C7C8}">
    <text>Antal antagits utifrån indata Elbjörn, sifforna är något höga för att inte riskera att räkna för lågt</text>
  </threadedComment>
  <threadedComment ref="H39" dT="2020-11-10T13:05:54.02" personId="{766E1B4C-A180-4561-9E3B-38AE9DC5DBB7}" id="{BC8489CA-1AA4-4CBA-937A-2EF8ED221BC7}">
    <text>Ink. driftsförluster se PDF Elbjörnen</text>
  </threadedComment>
  <threadedComment ref="H39" dT="2020-11-17T11:56:38.24" personId="{766E1B4C-A180-4561-9E3B-38AE9DC5DBB7}" id="{4BF6CED1-5781-44FD-94F4-6DFE33F87CE0}" parentId="{BC8489CA-1AA4-4CBA-937A-2EF8ED221BC7}">
    <text>Källa Elbjörn</text>
  </threadedComment>
  <threadedComment ref="K39" dT="2020-11-09T15:51:34.66" personId="{766E1B4C-A180-4561-9E3B-38AE9DC5DBB7}" id="{04C340EF-E83D-46D3-8215-F700962B2C2C}">
    <text>1 då nyttjandegraden redan är inräknad i data från Elbjörn</text>
  </threadedComment>
  <threadedComment ref="H45" dT="2020-11-10T13:05:54.02" personId="{766E1B4C-A180-4561-9E3B-38AE9DC5DBB7}" id="{1EDCD530-AC3A-4239-ACD7-4B1D53440716}">
    <text>Ink. driftsförluster se PDF Elbjörnen</text>
  </threadedComment>
  <threadedComment ref="H45" dT="2020-11-17T11:56:50.22" personId="{766E1B4C-A180-4561-9E3B-38AE9DC5DBB7}" id="{95A58168-1364-408F-AD62-FC9877BE1829}" parentId="{1EDCD530-AC3A-4239-ACD7-4B1D53440716}">
    <text>Källa Elbjörn</text>
  </threadedComment>
  <threadedComment ref="K45" dT="2020-11-17T12:30:46.02" personId="{766E1B4C-A180-4561-9E3B-38AE9DC5DBB7}" id="{47439504-6FF9-427E-AB99-C423012CEB8C}">
    <text>1 då nyttjandegraden redan är inräknad i data från Elbjörn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3D73-0D2A-4675-8DA3-DAEED61C41F5}">
  <dimension ref="B2:O61"/>
  <sheetViews>
    <sheetView tabSelected="1" zoomScale="145" zoomScaleNormal="145" workbookViewId="0">
      <selection activeCell="M15" sqref="M15"/>
    </sheetView>
  </sheetViews>
  <sheetFormatPr defaultColWidth="9.140625" defaultRowHeight="15"/>
  <cols>
    <col min="1" max="1" width="5" style="63" customWidth="1"/>
    <col min="2" max="2" width="4" style="63" customWidth="1"/>
    <col min="3" max="3" width="20.42578125" style="63" customWidth="1"/>
    <col min="4" max="4" width="14.140625" style="63" customWidth="1"/>
    <col min="5" max="7" width="9.140625" style="63"/>
    <col min="8" max="8" width="6.5703125" style="63" customWidth="1"/>
    <col min="9" max="9" width="6.85546875" style="63" customWidth="1"/>
    <col min="10" max="16384" width="9.140625" style="63"/>
  </cols>
  <sheetData>
    <row r="2" spans="2:8" ht="13.9">
      <c r="B2" s="62"/>
      <c r="C2" s="62"/>
      <c r="D2" s="62"/>
      <c r="E2" s="62"/>
      <c r="F2" s="62"/>
      <c r="G2" s="62"/>
      <c r="H2" s="62"/>
    </row>
    <row r="3" spans="2:8" ht="35.450000000000003">
      <c r="B3" s="62"/>
      <c r="C3" s="64" t="s">
        <v>0</v>
      </c>
      <c r="D3" s="62"/>
      <c r="E3" s="62"/>
      <c r="F3" s="62"/>
      <c r="G3" s="62"/>
      <c r="H3" s="62"/>
    </row>
    <row r="4" spans="2:8" ht="13.9">
      <c r="B4" s="62"/>
      <c r="C4" s="62" t="s">
        <v>1</v>
      </c>
      <c r="D4" s="62" t="s">
        <v>2</v>
      </c>
      <c r="E4" s="62"/>
      <c r="F4" s="62"/>
      <c r="G4" s="62"/>
      <c r="H4" s="62"/>
    </row>
    <row r="5" spans="2:8" ht="13.9">
      <c r="B5" s="62"/>
      <c r="C5" s="62"/>
      <c r="D5" s="62"/>
      <c r="E5" s="62"/>
      <c r="F5" s="62"/>
      <c r="G5" s="62"/>
      <c r="H5" s="62"/>
    </row>
    <row r="6" spans="2:8">
      <c r="B6" s="62"/>
      <c r="C6" s="212" t="s">
        <v>3</v>
      </c>
      <c r="D6" s="212"/>
      <c r="E6" s="212"/>
      <c r="F6" s="212"/>
      <c r="G6" s="212"/>
      <c r="H6" s="99"/>
    </row>
    <row r="7" spans="2:8">
      <c r="B7" s="62"/>
      <c r="C7" s="212"/>
      <c r="D7" s="212"/>
      <c r="E7" s="212"/>
      <c r="F7" s="212"/>
      <c r="G7" s="212"/>
      <c r="H7" s="99"/>
    </row>
    <row r="8" spans="2:8">
      <c r="B8" s="62"/>
      <c r="C8" s="212"/>
      <c r="D8" s="212"/>
      <c r="E8" s="212"/>
      <c r="F8" s="212"/>
      <c r="G8" s="212"/>
      <c r="H8" s="99"/>
    </row>
    <row r="9" spans="2:8">
      <c r="B9" s="62"/>
      <c r="C9" s="212"/>
      <c r="D9" s="212"/>
      <c r="E9" s="212"/>
      <c r="F9" s="212"/>
      <c r="G9" s="212"/>
      <c r="H9" s="99"/>
    </row>
    <row r="10" spans="2:8">
      <c r="B10" s="62"/>
      <c r="C10" s="212"/>
      <c r="D10" s="212"/>
      <c r="E10" s="212"/>
      <c r="F10" s="212"/>
      <c r="G10" s="212"/>
      <c r="H10" s="99"/>
    </row>
    <row r="11" spans="2:8">
      <c r="B11" s="62"/>
      <c r="C11" s="212"/>
      <c r="D11" s="212"/>
      <c r="E11" s="212"/>
      <c r="F11" s="212"/>
      <c r="G11" s="212"/>
      <c r="H11" s="99"/>
    </row>
    <row r="12" spans="2:8">
      <c r="B12" s="62"/>
      <c r="C12" s="212"/>
      <c r="D12" s="212"/>
      <c r="E12" s="212"/>
      <c r="F12" s="212"/>
      <c r="G12" s="212"/>
      <c r="H12" s="99"/>
    </row>
    <row r="13" spans="2:8">
      <c r="B13" s="62"/>
      <c r="C13" s="212"/>
      <c r="D13" s="212"/>
      <c r="E13" s="212"/>
      <c r="F13" s="212"/>
      <c r="G13" s="212"/>
      <c r="H13" s="99"/>
    </row>
    <row r="14" spans="2:8">
      <c r="B14" s="62"/>
      <c r="C14" s="212"/>
      <c r="D14" s="212"/>
      <c r="E14" s="212"/>
      <c r="F14" s="212"/>
      <c r="G14" s="212"/>
      <c r="H14" s="99"/>
    </row>
    <row r="15" spans="2:8">
      <c r="B15" s="62"/>
      <c r="C15" s="212"/>
      <c r="D15" s="212"/>
      <c r="E15" s="212"/>
      <c r="F15" s="212"/>
      <c r="G15" s="212"/>
      <c r="H15" s="99"/>
    </row>
    <row r="16" spans="2:8">
      <c r="B16" s="62"/>
      <c r="C16" s="212"/>
      <c r="D16" s="212"/>
      <c r="E16" s="212"/>
      <c r="F16" s="212"/>
      <c r="G16" s="212"/>
      <c r="H16" s="99"/>
    </row>
    <row r="17" spans="2:15">
      <c r="B17" s="62"/>
      <c r="C17" s="212"/>
      <c r="D17" s="212"/>
      <c r="E17" s="212"/>
      <c r="F17" s="212"/>
      <c r="G17" s="212"/>
      <c r="H17" s="99"/>
    </row>
    <row r="18" spans="2:15">
      <c r="B18" s="62"/>
      <c r="C18" s="212"/>
      <c r="D18" s="212"/>
      <c r="E18" s="212"/>
      <c r="F18" s="212"/>
      <c r="G18" s="212"/>
      <c r="H18" s="99"/>
    </row>
    <row r="19" spans="2:15">
      <c r="B19" s="62"/>
      <c r="C19" s="212"/>
      <c r="D19" s="212"/>
      <c r="E19" s="212"/>
      <c r="F19" s="212"/>
      <c r="G19" s="212"/>
      <c r="H19" s="99"/>
    </row>
    <row r="20" spans="2:15">
      <c r="B20" s="62"/>
      <c r="C20" s="212"/>
      <c r="D20" s="212"/>
      <c r="E20" s="212"/>
      <c r="F20" s="212"/>
      <c r="G20" s="212"/>
      <c r="H20" s="99"/>
    </row>
    <row r="21" spans="2:15">
      <c r="B21" s="62"/>
      <c r="C21" s="212"/>
      <c r="D21" s="212"/>
      <c r="E21" s="212"/>
      <c r="F21" s="212"/>
      <c r="G21" s="212"/>
      <c r="H21" s="99"/>
    </row>
    <row r="22" spans="2:15">
      <c r="B22" s="62"/>
      <c r="C22" s="212"/>
      <c r="D22" s="212"/>
      <c r="E22" s="212"/>
      <c r="F22" s="212"/>
      <c r="G22" s="212"/>
      <c r="H22" s="99"/>
    </row>
    <row r="23" spans="2:15">
      <c r="B23" s="62"/>
      <c r="C23" s="212"/>
      <c r="D23" s="212"/>
      <c r="E23" s="212"/>
      <c r="F23" s="212"/>
      <c r="G23" s="212"/>
      <c r="H23" s="99"/>
    </row>
    <row r="24" spans="2:15">
      <c r="B24" s="62"/>
      <c r="C24" s="212"/>
      <c r="D24" s="212"/>
      <c r="E24" s="212"/>
      <c r="F24" s="212"/>
      <c r="G24" s="212"/>
      <c r="H24" s="99"/>
    </row>
    <row r="25" spans="2:15">
      <c r="B25" s="62"/>
      <c r="C25" s="212"/>
      <c r="D25" s="212"/>
      <c r="E25" s="212"/>
      <c r="F25" s="212"/>
      <c r="G25" s="212"/>
      <c r="H25" s="99"/>
    </row>
    <row r="26" spans="2:15">
      <c r="B26" s="62"/>
      <c r="C26" s="212"/>
      <c r="D26" s="212"/>
      <c r="E26" s="212"/>
      <c r="F26" s="212"/>
      <c r="G26" s="212"/>
      <c r="H26" s="99"/>
    </row>
    <row r="27" spans="2:15">
      <c r="B27" s="62"/>
      <c r="C27" s="212"/>
      <c r="D27" s="212"/>
      <c r="E27" s="212"/>
      <c r="F27" s="212"/>
      <c r="G27" s="212"/>
      <c r="H27" s="99"/>
    </row>
    <row r="28" spans="2:15">
      <c r="B28" s="62"/>
      <c r="C28" s="212"/>
      <c r="D28" s="212"/>
      <c r="E28" s="212"/>
      <c r="F28" s="212"/>
      <c r="G28" s="212"/>
      <c r="H28" s="99"/>
      <c r="O28" s="63" t="s">
        <v>4</v>
      </c>
    </row>
    <row r="29" spans="2:15">
      <c r="B29" s="62"/>
      <c r="C29" s="212"/>
      <c r="D29" s="212"/>
      <c r="E29" s="212"/>
      <c r="F29" s="212"/>
      <c r="G29" s="212"/>
      <c r="H29" s="99"/>
    </row>
    <row r="30" spans="2:15">
      <c r="B30" s="62"/>
      <c r="C30" s="212"/>
      <c r="D30" s="212"/>
      <c r="E30" s="212"/>
      <c r="F30" s="212"/>
      <c r="G30" s="212"/>
      <c r="H30" s="99"/>
    </row>
    <row r="31" spans="2:15">
      <c r="B31" s="62"/>
      <c r="C31" s="212"/>
      <c r="D31" s="212"/>
      <c r="E31" s="212"/>
      <c r="F31" s="212"/>
      <c r="G31" s="212"/>
      <c r="H31" s="99"/>
    </row>
    <row r="32" spans="2:15">
      <c r="B32" s="62"/>
      <c r="C32" s="212"/>
      <c r="D32" s="212"/>
      <c r="E32" s="212"/>
      <c r="F32" s="212"/>
      <c r="G32" s="212"/>
      <c r="H32" s="99"/>
    </row>
    <row r="33" spans="2:8">
      <c r="B33" s="62"/>
      <c r="C33" s="212"/>
      <c r="D33" s="212"/>
      <c r="E33" s="212"/>
      <c r="F33" s="212"/>
      <c r="G33" s="212"/>
      <c r="H33" s="99"/>
    </row>
    <row r="34" spans="2:8">
      <c r="B34" s="62"/>
      <c r="C34" s="212"/>
      <c r="D34" s="212"/>
      <c r="E34" s="212"/>
      <c r="F34" s="212"/>
      <c r="G34" s="212"/>
      <c r="H34" s="99"/>
    </row>
    <row r="35" spans="2:8">
      <c r="B35" s="62"/>
      <c r="C35" s="212"/>
      <c r="D35" s="212"/>
      <c r="E35" s="212"/>
      <c r="F35" s="212"/>
      <c r="G35" s="212"/>
      <c r="H35" s="99"/>
    </row>
    <row r="36" spans="2:8">
      <c r="B36" s="62"/>
      <c r="C36" s="212"/>
      <c r="D36" s="212"/>
      <c r="E36" s="212"/>
      <c r="F36" s="212"/>
      <c r="G36" s="212"/>
      <c r="H36" s="99"/>
    </row>
    <row r="37" spans="2:8">
      <c r="B37" s="62"/>
      <c r="C37" s="212"/>
      <c r="D37" s="212"/>
      <c r="E37" s="212"/>
      <c r="F37" s="212"/>
      <c r="G37" s="212"/>
      <c r="H37" s="99"/>
    </row>
    <row r="38" spans="2:8">
      <c r="B38" s="62"/>
      <c r="C38" s="212"/>
      <c r="D38" s="212"/>
      <c r="E38" s="212"/>
      <c r="F38" s="212"/>
      <c r="G38" s="212"/>
      <c r="H38" s="99"/>
    </row>
    <row r="39" spans="2:8">
      <c r="B39" s="62"/>
      <c r="C39" s="212"/>
      <c r="D39" s="212"/>
      <c r="E39" s="212"/>
      <c r="F39" s="212"/>
      <c r="G39" s="212"/>
      <c r="H39" s="99"/>
    </row>
    <row r="40" spans="2:8">
      <c r="B40" s="62"/>
      <c r="C40" s="212"/>
      <c r="D40" s="212"/>
      <c r="E40" s="212"/>
      <c r="F40" s="212"/>
      <c r="G40" s="212"/>
      <c r="H40" s="99"/>
    </row>
    <row r="41" spans="2:8">
      <c r="B41" s="62"/>
      <c r="C41" s="212"/>
      <c r="D41" s="212"/>
      <c r="E41" s="212"/>
      <c r="F41" s="212"/>
      <c r="G41" s="212"/>
      <c r="H41" s="99"/>
    </row>
    <row r="42" spans="2:8">
      <c r="B42" s="62"/>
      <c r="C42" s="62"/>
      <c r="D42" s="62"/>
      <c r="E42" s="62"/>
      <c r="F42" s="62"/>
      <c r="G42" s="62"/>
      <c r="H42" s="62"/>
    </row>
    <row r="43" spans="2:8">
      <c r="B43" s="62"/>
      <c r="C43" s="81" t="s">
        <v>5</v>
      </c>
      <c r="D43" s="81" t="s">
        <v>6</v>
      </c>
      <c r="E43" s="62"/>
      <c r="F43" s="62"/>
      <c r="G43" s="62"/>
      <c r="H43" s="62"/>
    </row>
    <row r="44" spans="2:8">
      <c r="B44" s="62"/>
      <c r="C44" s="72" t="s">
        <v>7</v>
      </c>
      <c r="D44" s="80" t="s">
        <v>8</v>
      </c>
      <c r="E44" s="62"/>
      <c r="F44" s="62"/>
      <c r="G44" s="62"/>
      <c r="H44" s="62"/>
    </row>
    <row r="45" spans="2:8">
      <c r="B45" s="62"/>
      <c r="C45" s="72" t="s">
        <v>9</v>
      </c>
      <c r="D45" s="80" t="s">
        <v>8</v>
      </c>
      <c r="E45" s="62"/>
      <c r="F45" s="62"/>
      <c r="G45" s="62"/>
      <c r="H45" s="62"/>
    </row>
    <row r="46" spans="2:8">
      <c r="B46" s="62"/>
      <c r="C46" s="72" t="s">
        <v>10</v>
      </c>
      <c r="D46" s="80" t="s">
        <v>8</v>
      </c>
      <c r="E46" s="62"/>
      <c r="F46" s="62"/>
      <c r="G46" s="62"/>
      <c r="H46" s="62"/>
    </row>
    <row r="47" spans="2:8">
      <c r="B47" s="62"/>
      <c r="C47" s="72" t="s">
        <v>11</v>
      </c>
      <c r="D47" s="80" t="s">
        <v>8</v>
      </c>
      <c r="E47" s="62"/>
      <c r="F47" s="62"/>
      <c r="G47" s="62"/>
      <c r="H47" s="62"/>
    </row>
    <row r="48" spans="2:8">
      <c r="B48" s="62"/>
      <c r="C48" s="72" t="s">
        <v>12</v>
      </c>
      <c r="D48" s="80" t="s">
        <v>8</v>
      </c>
      <c r="E48" s="62"/>
      <c r="F48" s="62"/>
      <c r="G48" s="62"/>
      <c r="H48" s="62"/>
    </row>
    <row r="49" spans="2:8">
      <c r="B49" s="62"/>
      <c r="C49" s="72" t="s">
        <v>13</v>
      </c>
      <c r="D49" s="80" t="s">
        <v>8</v>
      </c>
      <c r="E49" s="62"/>
      <c r="F49" s="62"/>
      <c r="G49" s="62"/>
      <c r="H49" s="62"/>
    </row>
    <row r="50" spans="2:8">
      <c r="B50" s="62"/>
      <c r="C50" s="72" t="s">
        <v>14</v>
      </c>
      <c r="D50" s="80" t="s">
        <v>15</v>
      </c>
      <c r="E50" s="62"/>
      <c r="F50" s="62"/>
      <c r="G50" s="62"/>
      <c r="H50" s="62"/>
    </row>
    <row r="51" spans="2:8">
      <c r="B51" s="62"/>
      <c r="C51" s="72" t="s">
        <v>16</v>
      </c>
      <c r="D51" s="80" t="s">
        <v>15</v>
      </c>
      <c r="E51" s="62"/>
      <c r="F51" s="62"/>
      <c r="G51" s="62"/>
      <c r="H51" s="62"/>
    </row>
    <row r="52" spans="2:8">
      <c r="B52" s="62"/>
      <c r="C52" s="62"/>
      <c r="D52" s="62"/>
      <c r="E52" s="62"/>
      <c r="F52" s="62"/>
      <c r="G52" s="62"/>
      <c r="H52" s="62"/>
    </row>
    <row r="53" spans="2:8">
      <c r="B53" s="62"/>
      <c r="C53" s="73" t="s">
        <v>17</v>
      </c>
      <c r="D53" s="62"/>
      <c r="E53" s="62"/>
      <c r="F53" s="62"/>
      <c r="G53" s="62"/>
      <c r="H53" s="62"/>
    </row>
    <row r="54" spans="2:8">
      <c r="B54" s="62"/>
      <c r="C54" s="69" t="s">
        <v>18</v>
      </c>
      <c r="D54" s="70"/>
      <c r="E54" s="70"/>
      <c r="F54" s="74"/>
      <c r="G54" s="75"/>
      <c r="H54" s="66"/>
    </row>
    <row r="55" spans="2:8">
      <c r="B55" s="62"/>
      <c r="C55" s="69" t="s">
        <v>19</v>
      </c>
      <c r="D55" s="70"/>
      <c r="E55" s="70"/>
      <c r="F55" s="76"/>
      <c r="G55" s="77"/>
      <c r="H55" s="66"/>
    </row>
    <row r="56" spans="2:8">
      <c r="B56" s="62"/>
      <c r="C56" s="69" t="s">
        <v>20</v>
      </c>
      <c r="D56" s="70"/>
      <c r="E56" s="70"/>
      <c r="F56" s="69"/>
      <c r="G56" s="71"/>
      <c r="H56" s="66"/>
    </row>
    <row r="57" spans="2:8">
      <c r="B57" s="62"/>
      <c r="C57" s="69" t="s">
        <v>21</v>
      </c>
      <c r="D57" s="70"/>
      <c r="E57" s="70"/>
      <c r="F57" s="78"/>
      <c r="G57" s="79"/>
      <c r="H57" s="66"/>
    </row>
    <row r="58" spans="2:8">
      <c r="B58" s="62"/>
      <c r="C58" s="62"/>
      <c r="D58" s="62"/>
      <c r="E58" s="62"/>
      <c r="F58" s="62"/>
      <c r="G58" s="62"/>
      <c r="H58" s="62"/>
    </row>
    <row r="59" spans="2:8">
      <c r="B59" s="62"/>
      <c r="C59" s="62"/>
      <c r="D59" s="62"/>
      <c r="E59" s="62"/>
      <c r="F59" s="62"/>
      <c r="G59" s="62"/>
      <c r="H59" s="62"/>
    </row>
    <row r="60" spans="2:8">
      <c r="B60" s="62"/>
      <c r="C60" s="62"/>
      <c r="D60" s="62"/>
      <c r="E60" s="62"/>
      <c r="F60" s="62"/>
      <c r="G60" s="62"/>
      <c r="H60" s="62"/>
    </row>
    <row r="61" spans="2:8">
      <c r="B61" s="62"/>
      <c r="C61" s="62"/>
      <c r="D61" s="62"/>
      <c r="E61" s="62"/>
      <c r="F61" s="62"/>
      <c r="G61" s="62"/>
      <c r="H61" s="62"/>
    </row>
  </sheetData>
  <sheetProtection algorithmName="SHA-512" hashValue="zU0SGLdPMFTv4YrbCZvyUaJlqqiWEdyc1Cwt8A43HqbqozEBUyaY4klyAVH6SAI1wUBrQqLc0mHzszPCYh+GVQ==" saltValue="uE2AI5sf0BjiqkZoFfWiPA==" spinCount="100000" sheet="1" objects="1" scenarios="1"/>
  <mergeCells count="1">
    <mergeCell ref="C6:G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15EA-A848-4E46-8F9D-523730740F9A}">
  <dimension ref="B3:N24"/>
  <sheetViews>
    <sheetView workbookViewId="0">
      <selection activeCellId="6" sqref="A12:XFD1048576 G11:XFD11 A11:E11 A10:XFD10 G7:XFD9 A7:E9 A1:XFD6"/>
    </sheetView>
  </sheetViews>
  <sheetFormatPr defaultRowHeight="15"/>
  <cols>
    <col min="1" max="4" width="9.140625" style="144"/>
    <col min="5" max="5" width="5.140625" style="144" customWidth="1"/>
    <col min="6" max="6" width="12" style="144" customWidth="1"/>
    <col min="7" max="7" width="13.28515625" style="144" bestFit="1" customWidth="1"/>
    <col min="8" max="16384" width="9.140625" style="144"/>
  </cols>
  <sheetData>
    <row r="3" spans="2:12">
      <c r="B3" s="105"/>
      <c r="C3" s="105"/>
      <c r="D3" s="105"/>
      <c r="E3" s="105"/>
      <c r="F3" s="105"/>
      <c r="G3" s="105"/>
      <c r="H3" s="105"/>
      <c r="I3" s="105"/>
      <c r="J3" s="105"/>
      <c r="K3" s="105"/>
      <c r="L3" s="105"/>
    </row>
    <row r="4" spans="2:12" ht="26.25">
      <c r="B4" s="105"/>
      <c r="C4" s="124" t="s">
        <v>22</v>
      </c>
      <c r="D4" s="105"/>
      <c r="E4" s="105"/>
      <c r="F4" s="105"/>
      <c r="G4" s="105"/>
      <c r="H4" s="105"/>
      <c r="I4" s="105"/>
      <c r="J4" s="105"/>
      <c r="K4" s="105"/>
      <c r="L4" s="105"/>
    </row>
    <row r="5" spans="2:12">
      <c r="B5" s="105"/>
      <c r="C5" s="105"/>
      <c r="D5" s="105"/>
      <c r="E5" s="105"/>
      <c r="F5" s="105"/>
      <c r="G5" s="105"/>
      <c r="H5" s="105"/>
      <c r="I5" s="105"/>
      <c r="J5" s="105"/>
      <c r="K5" s="105"/>
      <c r="L5" s="105"/>
    </row>
    <row r="6" spans="2:12">
      <c r="B6" s="105"/>
      <c r="C6" s="146" t="s">
        <v>23</v>
      </c>
      <c r="D6" s="146"/>
      <c r="E6" s="146"/>
      <c r="F6" s="146"/>
      <c r="G6" s="146"/>
      <c r="H6" s="105"/>
      <c r="I6" s="105"/>
      <c r="J6" s="105"/>
      <c r="K6" s="105"/>
      <c r="L6" s="105"/>
    </row>
    <row r="7" spans="2:12">
      <c r="B7" s="105"/>
      <c r="C7" s="213" t="s">
        <v>24</v>
      </c>
      <c r="D7" s="213"/>
      <c r="E7" s="213"/>
      <c r="F7" s="142">
        <v>3.6999999999999998E-2</v>
      </c>
      <c r="G7" s="135" t="s">
        <v>25</v>
      </c>
      <c r="H7" s="105"/>
      <c r="I7" s="105"/>
      <c r="J7" s="105"/>
      <c r="K7" s="105"/>
      <c r="L7" s="105"/>
    </row>
    <row r="8" spans="2:12">
      <c r="B8" s="105"/>
      <c r="C8" s="213" t="s">
        <v>26</v>
      </c>
      <c r="D8" s="213"/>
      <c r="E8" s="213"/>
      <c r="F8" s="142">
        <v>1.32E-2</v>
      </c>
      <c r="G8" s="135" t="s">
        <v>27</v>
      </c>
      <c r="H8" s="105"/>
      <c r="I8" s="105"/>
      <c r="J8" s="105"/>
      <c r="K8" s="105"/>
      <c r="L8" s="105"/>
    </row>
    <row r="9" spans="2:12">
      <c r="B9" s="105"/>
      <c r="C9" s="213" t="s">
        <v>28</v>
      </c>
      <c r="D9" s="213"/>
      <c r="E9" s="213"/>
      <c r="F9" s="142">
        <v>7.4999999999999997E-2</v>
      </c>
      <c r="G9" s="135" t="s">
        <v>27</v>
      </c>
      <c r="H9" s="105"/>
      <c r="I9" s="105"/>
      <c r="J9" s="105"/>
      <c r="K9" s="105"/>
      <c r="L9" s="105"/>
    </row>
    <row r="10" spans="2:12">
      <c r="B10" s="105"/>
      <c r="C10" s="105"/>
      <c r="D10" s="105"/>
      <c r="E10" s="105"/>
      <c r="F10" s="105"/>
      <c r="G10" s="105"/>
      <c r="H10" s="105"/>
      <c r="I10" s="105"/>
      <c r="J10" s="105"/>
      <c r="K10" s="105"/>
      <c r="L10" s="105"/>
    </row>
    <row r="11" spans="2:12">
      <c r="B11" s="105"/>
      <c r="C11" s="213" t="s">
        <v>29</v>
      </c>
      <c r="D11" s="213"/>
      <c r="E11" s="213"/>
      <c r="F11" s="143">
        <v>44398</v>
      </c>
      <c r="G11" s="105"/>
      <c r="H11" s="105"/>
      <c r="I11" s="105"/>
      <c r="J11" s="105"/>
      <c r="K11" s="105"/>
      <c r="L11" s="105"/>
    </row>
    <row r="12" spans="2:12">
      <c r="B12" s="105"/>
      <c r="C12" s="105"/>
      <c r="D12" s="105"/>
      <c r="E12" s="105"/>
      <c r="F12" s="105"/>
      <c r="G12" s="105"/>
      <c r="H12" s="105"/>
      <c r="I12" s="105"/>
      <c r="J12" s="105"/>
      <c r="K12" s="105"/>
      <c r="L12" s="105"/>
    </row>
    <row r="13" spans="2:12">
      <c r="B13" s="105"/>
      <c r="C13" s="105" t="s">
        <v>30</v>
      </c>
      <c r="D13" s="105"/>
      <c r="E13" s="105"/>
      <c r="F13" s="105"/>
      <c r="G13" s="105"/>
      <c r="H13" s="105"/>
      <c r="I13" s="105"/>
      <c r="J13" s="105"/>
      <c r="K13" s="105"/>
      <c r="L13" s="105"/>
    </row>
    <row r="14" spans="2:12">
      <c r="B14" s="105"/>
      <c r="C14" s="105"/>
      <c r="D14" s="105"/>
      <c r="E14" s="105"/>
      <c r="F14" s="105"/>
      <c r="G14" s="105"/>
      <c r="H14" s="105"/>
      <c r="I14" s="105"/>
      <c r="J14" s="105"/>
      <c r="K14" s="105"/>
      <c r="L14" s="105"/>
    </row>
    <row r="24" spans="14:14">
      <c r="N24" s="145"/>
    </row>
  </sheetData>
  <sheetProtection algorithmName="SHA-512" hashValue="EcYGO4YRhF1jp5FHyk5AZHUdg12MhFKR5T8CDuf4Nv5hQGje8NKddXvyjv1MfBcdyoSO37FzsfCA6aIG3d1X9Q==" saltValue="pyPKa/z7ySrebjYeqtY23w==" spinCount="100000" sheet="1" objects="1" scenarios="1"/>
  <mergeCells count="4">
    <mergeCell ref="C7:E7"/>
    <mergeCell ref="C8:E8"/>
    <mergeCell ref="C9:E9"/>
    <mergeCell ref="C11:E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BD06-782E-4E24-88F9-13988B1C39B2}">
  <sheetPr>
    <pageSetUpPr fitToPage="1"/>
  </sheetPr>
  <dimension ref="B2:J148"/>
  <sheetViews>
    <sheetView topLeftCell="A26" zoomScale="85" zoomScaleNormal="85" workbookViewId="0">
      <selection activeCell="P80" sqref="P80"/>
    </sheetView>
  </sheetViews>
  <sheetFormatPr defaultColWidth="9.140625" defaultRowHeight="15"/>
  <cols>
    <col min="1" max="1" width="3.5703125" style="107" customWidth="1"/>
    <col min="2" max="2" width="9.140625" style="107"/>
    <col min="3" max="3" width="29" style="107" customWidth="1"/>
    <col min="4" max="4" width="40" style="107" customWidth="1"/>
    <col min="5" max="5" width="21.42578125" style="107" bestFit="1" customWidth="1"/>
    <col min="6" max="6" width="28.28515625" style="107" customWidth="1"/>
    <col min="7" max="7" width="11.42578125" style="107" customWidth="1"/>
    <col min="8" max="8" width="17.5703125" style="107" customWidth="1"/>
    <col min="9" max="9" width="8.5703125" style="107" customWidth="1"/>
    <col min="10" max="10" width="16.140625" style="107" customWidth="1"/>
    <col min="11" max="11" width="3.5703125" style="107" customWidth="1"/>
    <col min="12" max="16384" width="9.140625" style="107"/>
  </cols>
  <sheetData>
    <row r="2" spans="2:10" ht="49.5" customHeight="1">
      <c r="B2" s="105"/>
      <c r="C2" s="123" t="s">
        <v>31</v>
      </c>
      <c r="D2" s="105"/>
      <c r="E2" s="105"/>
      <c r="F2" s="105"/>
      <c r="G2" s="105"/>
      <c r="H2" s="105"/>
      <c r="I2" s="105"/>
      <c r="J2" s="105"/>
    </row>
    <row r="3" spans="2:10" ht="26.25">
      <c r="B3" s="105"/>
      <c r="C3" s="124" t="s">
        <v>32</v>
      </c>
      <c r="D3" s="105"/>
      <c r="E3" s="105"/>
      <c r="F3" s="105"/>
      <c r="G3" s="124" t="s">
        <v>33</v>
      </c>
      <c r="H3" s="105"/>
      <c r="I3" s="105"/>
      <c r="J3" s="105"/>
    </row>
    <row r="4" spans="2:10" ht="11.45" customHeight="1">
      <c r="B4" s="105"/>
      <c r="C4" s="124"/>
      <c r="D4" s="105"/>
      <c r="E4" s="105"/>
      <c r="F4" s="105"/>
      <c r="G4" s="105"/>
      <c r="H4" s="105"/>
      <c r="I4" s="105"/>
      <c r="J4" s="105"/>
    </row>
    <row r="6" spans="2:10" ht="11.45" customHeight="1">
      <c r="B6" s="105"/>
      <c r="C6" s="120"/>
      <c r="D6" s="105"/>
      <c r="E6" s="105"/>
      <c r="F6" s="105"/>
      <c r="G6" s="105"/>
      <c r="H6" s="105"/>
      <c r="I6" s="105"/>
      <c r="J6" s="105"/>
    </row>
    <row r="7" spans="2:10">
      <c r="B7" s="105"/>
      <c r="C7" s="119" t="s">
        <v>17</v>
      </c>
      <c r="D7" s="105"/>
      <c r="E7" s="105"/>
      <c r="F7" s="105"/>
      <c r="G7" s="105"/>
      <c r="H7" s="105"/>
      <c r="I7" s="105"/>
      <c r="J7" s="105"/>
    </row>
    <row r="8" spans="2:10">
      <c r="B8" s="105"/>
      <c r="C8" s="215" t="s">
        <v>18</v>
      </c>
      <c r="D8" s="215"/>
      <c r="E8" s="105"/>
      <c r="F8" s="105"/>
      <c r="G8" s="105"/>
      <c r="H8" s="105"/>
      <c r="I8" s="105"/>
      <c r="J8" s="105"/>
    </row>
    <row r="9" spans="2:10" ht="13.9">
      <c r="B9" s="105"/>
      <c r="C9" s="216" t="s">
        <v>19</v>
      </c>
      <c r="D9" s="216"/>
      <c r="E9" s="105"/>
      <c r="F9" s="105"/>
      <c r="G9" s="105"/>
      <c r="H9" s="105"/>
      <c r="I9" s="105"/>
      <c r="J9" s="105"/>
    </row>
    <row r="10" spans="2:10">
      <c r="B10" s="105"/>
      <c r="C10" s="213" t="s">
        <v>20</v>
      </c>
      <c r="D10" s="213"/>
      <c r="E10" s="105"/>
      <c r="F10" s="105"/>
      <c r="G10" s="105"/>
      <c r="H10" s="105"/>
      <c r="I10" s="105"/>
      <c r="J10" s="105"/>
    </row>
    <row r="11" spans="2:10">
      <c r="B11" s="105"/>
      <c r="C11" s="217" t="s">
        <v>21</v>
      </c>
      <c r="D11" s="217"/>
      <c r="E11" s="105"/>
      <c r="F11" s="105"/>
      <c r="G11" s="105"/>
      <c r="H11" s="105"/>
      <c r="I11" s="105"/>
      <c r="J11" s="105"/>
    </row>
    <row r="12" spans="2:10" ht="13.9" customHeight="1">
      <c r="B12" s="105"/>
      <c r="C12" s="124"/>
      <c r="D12" s="105"/>
      <c r="E12" s="105"/>
      <c r="F12" s="105"/>
      <c r="G12" s="105"/>
      <c r="H12" s="105"/>
      <c r="I12" s="105"/>
      <c r="J12" s="105"/>
    </row>
    <row r="14" spans="2:10" ht="27.75">
      <c r="B14" s="105"/>
      <c r="C14" s="120" t="s">
        <v>34</v>
      </c>
      <c r="D14" s="105"/>
      <c r="E14" s="105"/>
      <c r="F14" s="105"/>
      <c r="G14" s="105"/>
      <c r="H14" s="105"/>
      <c r="I14" s="105"/>
      <c r="J14" s="105"/>
    </row>
    <row r="15" spans="2:10">
      <c r="B15" s="105"/>
      <c r="C15" s="125" t="s">
        <v>35</v>
      </c>
      <c r="D15" s="105"/>
      <c r="E15" s="105"/>
      <c r="F15" s="105"/>
      <c r="G15" s="105"/>
      <c r="H15" s="105"/>
      <c r="I15" s="105"/>
      <c r="J15" s="105"/>
    </row>
    <row r="16" spans="2:10" ht="18.75">
      <c r="B16" s="105"/>
      <c r="C16" s="126"/>
      <c r="D16" s="127" t="s">
        <v>36</v>
      </c>
      <c r="E16" s="127" t="s">
        <v>37</v>
      </c>
      <c r="F16" s="127" t="s">
        <v>38</v>
      </c>
      <c r="G16" s="105"/>
      <c r="H16" s="105"/>
      <c r="I16" s="105"/>
      <c r="J16" s="105"/>
    </row>
    <row r="17" spans="2:10" ht="18.75">
      <c r="B17" s="105"/>
      <c r="C17" s="128" t="s">
        <v>39</v>
      </c>
      <c r="D17" s="129">
        <f>'Uträkningar Snurra'!C7</f>
        <v>2715.0424947916663</v>
      </c>
      <c r="E17" s="129">
        <f>'Uträkningar Snurra'!D7</f>
        <v>452.50708246527773</v>
      </c>
      <c r="F17" s="129">
        <f>'Uträkningar Snurra'!E7</f>
        <v>13.575212473958331</v>
      </c>
      <c r="G17" s="105"/>
      <c r="H17" s="105"/>
      <c r="I17" s="105"/>
      <c r="J17" s="105"/>
    </row>
    <row r="18" spans="2:10" ht="18.75">
      <c r="B18" s="105"/>
      <c r="C18" s="125" t="s">
        <v>40</v>
      </c>
      <c r="D18" s="127"/>
      <c r="E18" s="127"/>
      <c r="F18" s="127"/>
      <c r="G18" s="105"/>
      <c r="H18" s="105"/>
      <c r="I18" s="105"/>
      <c r="J18" s="105"/>
    </row>
    <row r="19" spans="2:10" ht="18.75">
      <c r="B19" s="105"/>
      <c r="C19" s="128" t="s">
        <v>41</v>
      </c>
      <c r="D19" s="129">
        <f>'Uträkningar Snurra'!C10</f>
        <v>2715.0424947916672</v>
      </c>
      <c r="E19" s="129">
        <f>'Uträkningar Snurra'!D10</f>
        <v>452.50708246527785</v>
      </c>
      <c r="F19" s="129">
        <f>'Uträkningar Snurra'!E10</f>
        <v>13.575212473958336</v>
      </c>
      <c r="G19" s="105"/>
      <c r="H19" s="105"/>
      <c r="I19" s="105"/>
      <c r="J19" s="105"/>
    </row>
    <row r="20" spans="2:10">
      <c r="B20" s="105"/>
      <c r="C20" s="125" t="s">
        <v>42</v>
      </c>
      <c r="D20" s="105"/>
      <c r="E20" s="105"/>
      <c r="F20" s="105"/>
      <c r="G20" s="105"/>
      <c r="H20" s="105"/>
      <c r="I20" s="105"/>
      <c r="J20" s="105"/>
    </row>
    <row r="21" spans="2:10" ht="15.75">
      <c r="B21" s="105"/>
      <c r="C21" s="105"/>
      <c r="D21" s="105"/>
      <c r="E21" s="105"/>
      <c r="F21" s="118" t="s">
        <v>43</v>
      </c>
      <c r="G21" s="114"/>
      <c r="H21" s="105"/>
      <c r="I21" s="105"/>
      <c r="J21" s="105"/>
    </row>
    <row r="22" spans="2:10" ht="15.75">
      <c r="B22" s="105"/>
      <c r="C22" s="105"/>
      <c r="D22" s="105"/>
      <c r="E22" s="105"/>
      <c r="F22" s="130" t="str">
        <f>'Klimatpåverkan per energianvänd'!C13</f>
        <v>Mobilkran</v>
      </c>
      <c r="G22" s="131">
        <f>'Klimatpåverkan per energianvänd'!N13</f>
        <v>0.19889191459651018</v>
      </c>
      <c r="H22" s="105"/>
      <c r="I22" s="105"/>
      <c r="J22" s="105"/>
    </row>
    <row r="23" spans="2:10" ht="15.75">
      <c r="B23" s="105"/>
      <c r="C23" s="105"/>
      <c r="D23" s="105"/>
      <c r="E23" s="105"/>
      <c r="F23" s="130" t="str">
        <f>'Klimatpåverkan per energianvänd'!C15</f>
        <v>Personalbod</v>
      </c>
      <c r="G23" s="131">
        <f>'Klimatpåverkan per energianvänd'!N15</f>
        <v>7.2397577709030617E-2</v>
      </c>
      <c r="H23" s="105"/>
      <c r="I23" s="105"/>
      <c r="J23" s="105"/>
    </row>
    <row r="24" spans="2:10" ht="15.75">
      <c r="B24" s="105"/>
      <c r="C24" s="105"/>
      <c r="D24" s="105"/>
      <c r="E24" s="105"/>
      <c r="F24" s="130" t="str">
        <f>'Klimatpåverkan per energianvänd'!C16</f>
        <v>Värmeluftsfläkt</v>
      </c>
      <c r="G24" s="131">
        <f>'Klimatpåverkan per energianvänd'!N16</f>
        <v>0.55959068888038954</v>
      </c>
      <c r="H24" s="105"/>
      <c r="I24" s="105"/>
      <c r="J24" s="105"/>
    </row>
    <row r="25" spans="2:10" ht="15.75">
      <c r="B25" s="105"/>
      <c r="C25" s="105"/>
      <c r="D25" s="105"/>
      <c r="E25" s="105"/>
      <c r="F25" s="130" t="str">
        <f>'Klimatpåverkan per energianvänd'!C17</f>
        <v>Eldrivna maskiner</v>
      </c>
      <c r="G25" s="131">
        <f>'Klimatpåverkan per energianvänd'!N17</f>
        <v>3.6170397647570587E-2</v>
      </c>
      <c r="H25" s="105"/>
      <c r="I25" s="105"/>
      <c r="J25" s="105"/>
    </row>
    <row r="26" spans="2:10" ht="15.75">
      <c r="B26" s="105"/>
      <c r="C26" s="105"/>
      <c r="D26" s="105"/>
      <c r="E26" s="105"/>
      <c r="F26" s="130" t="str">
        <f>'Klimatpåverkan per energianvänd'!C18</f>
        <v>Inomhusbelysning</v>
      </c>
      <c r="G26" s="131">
        <f>'Klimatpåverkan per energianvänd'!N18</f>
        <v>1.9041627607735478E-2</v>
      </c>
      <c r="H26" s="105"/>
      <c r="I26" s="105"/>
      <c r="J26" s="105"/>
    </row>
    <row r="27" spans="2:10" ht="15.75">
      <c r="B27" s="105"/>
      <c r="C27" s="105"/>
      <c r="D27" s="105"/>
      <c r="E27" s="105"/>
      <c r="F27" s="130" t="str">
        <f>'Klimatpåverkan per energianvänd'!C19</f>
        <v>Utomhusbelysning</v>
      </c>
      <c r="G27" s="131">
        <f>'Klimatpåverkan per energianvänd'!N19</f>
        <v>0.11390779355876374</v>
      </c>
      <c r="H27" s="105"/>
      <c r="I27" s="105"/>
      <c r="J27" s="105"/>
    </row>
    <row r="28" spans="2:10">
      <c r="B28" s="105"/>
      <c r="C28" s="105"/>
      <c r="D28" s="105"/>
      <c r="E28" s="105"/>
      <c r="F28" s="105"/>
      <c r="G28" s="132"/>
      <c r="H28" s="105"/>
      <c r="I28" s="105"/>
      <c r="J28" s="105"/>
    </row>
    <row r="29" spans="2:10">
      <c r="B29" s="105"/>
      <c r="C29" s="105"/>
      <c r="D29" s="105"/>
      <c r="E29" s="105"/>
      <c r="F29" s="218" t="s">
        <v>44</v>
      </c>
      <c r="G29" s="218"/>
      <c r="H29" s="218"/>
      <c r="I29" s="218"/>
      <c r="J29" s="105"/>
    </row>
    <row r="30" spans="2:10">
      <c r="B30" s="105"/>
      <c r="C30" s="105"/>
      <c r="D30" s="105"/>
      <c r="E30" s="105"/>
      <c r="F30" s="218"/>
      <c r="G30" s="218"/>
      <c r="H30" s="218"/>
      <c r="I30" s="218"/>
      <c r="J30" s="105"/>
    </row>
    <row r="31" spans="2:10">
      <c r="B31" s="105"/>
      <c r="C31" s="105"/>
      <c r="D31" s="105"/>
      <c r="E31" s="105"/>
      <c r="F31" s="133"/>
      <c r="G31" s="133"/>
      <c r="H31" s="133"/>
      <c r="I31" s="133"/>
      <c r="J31" s="105"/>
    </row>
    <row r="32" spans="2:10">
      <c r="B32" s="105"/>
      <c r="C32" s="105"/>
      <c r="D32" s="105"/>
      <c r="E32" s="105"/>
      <c r="F32" s="133"/>
      <c r="G32" s="133"/>
      <c r="H32" s="133"/>
      <c r="I32" s="133"/>
      <c r="J32" s="105"/>
    </row>
    <row r="33" spans="2:10">
      <c r="B33" s="105"/>
      <c r="C33" s="105"/>
      <c r="D33" s="105"/>
      <c r="E33" s="105"/>
      <c r="F33" s="134" t="s">
        <v>45</v>
      </c>
      <c r="G33" s="134" t="s">
        <v>46</v>
      </c>
      <c r="H33" s="134" t="s">
        <v>41</v>
      </c>
      <c r="I33" s="134"/>
      <c r="J33" s="105"/>
    </row>
    <row r="34" spans="2:10">
      <c r="B34" s="105"/>
      <c r="C34" s="105"/>
      <c r="D34" s="105"/>
      <c r="E34" s="105"/>
      <c r="F34" s="135" t="str">
        <f>'Schablonberäkning A5.2-A5.5'!K16</f>
        <v>Elektricitet, svensk elmix</v>
      </c>
      <c r="G34" s="136">
        <f>'Schablonberäkning A5.2-A5.5'!L16</f>
        <v>47027.945833333331</v>
      </c>
      <c r="H34" s="136">
        <f>'Schablonberäkning A5.2-A5.5'!M16</f>
        <v>58784.932291666664</v>
      </c>
      <c r="I34" s="135" t="str">
        <f>'Schablonberäkning A5.2-A5.5'!N16</f>
        <v>kWh</v>
      </c>
      <c r="J34" s="105"/>
    </row>
    <row r="35" spans="2:10">
      <c r="B35" s="105"/>
      <c r="C35" s="105"/>
      <c r="D35" s="105"/>
      <c r="E35" s="105"/>
      <c r="F35" s="135" t="str">
        <f>'Schablonberäkning A5.2-A5.5'!K17</f>
        <v>Diesel, HVO100</v>
      </c>
      <c r="G35" s="136">
        <f>'Schablonberäkning A5.2-A5.5'!L17</f>
        <v>0</v>
      </c>
      <c r="H35" s="136">
        <f>'Schablonberäkning A5.2-A5.5'!M17</f>
        <v>0</v>
      </c>
      <c r="I35" s="135" t="str">
        <f>'Schablonberäkning A5.2-A5.5'!N17</f>
        <v>MJ</v>
      </c>
      <c r="J35" s="105"/>
    </row>
    <row r="36" spans="2:10">
      <c r="B36" s="105"/>
      <c r="C36" s="105"/>
      <c r="D36" s="105"/>
      <c r="E36" s="105"/>
      <c r="F36" s="135" t="str">
        <f>'Schablonberäkning A5.2-A5.5'!K18</f>
        <v>Diesel, reduktionsplikt (2020)</v>
      </c>
      <c r="G36" s="136">
        <f>'Schablonberäkning A5.2-A5.5'!L18</f>
        <v>5760</v>
      </c>
      <c r="H36" s="136">
        <f>'Schablonberäkning A5.2-A5.5'!M18</f>
        <v>7200</v>
      </c>
      <c r="I36" s="135" t="str">
        <f>'Schablonberäkning A5.2-A5.5'!N18</f>
        <v>MJ</v>
      </c>
      <c r="J36" s="105"/>
    </row>
    <row r="37" spans="2:10">
      <c r="B37" s="105"/>
      <c r="C37" s="105"/>
      <c r="D37" s="105"/>
      <c r="E37" s="105"/>
      <c r="F37" s="137" t="s">
        <v>35</v>
      </c>
      <c r="G37" s="106"/>
      <c r="H37" s="106"/>
      <c r="I37" s="106"/>
      <c r="J37" s="105"/>
    </row>
    <row r="38" spans="2:10">
      <c r="B38" s="105"/>
      <c r="C38" s="105"/>
      <c r="D38" s="105"/>
      <c r="E38" s="105"/>
      <c r="F38" s="137" t="s">
        <v>40</v>
      </c>
      <c r="G38" s="105"/>
      <c r="H38" s="105"/>
      <c r="I38" s="105"/>
      <c r="J38" s="105"/>
    </row>
    <row r="39" spans="2:10">
      <c r="B39" s="105"/>
      <c r="C39" s="105"/>
      <c r="D39" s="105"/>
      <c r="E39" s="105"/>
      <c r="F39" s="137" t="s">
        <v>42</v>
      </c>
      <c r="G39" s="105"/>
      <c r="H39" s="105"/>
      <c r="I39" s="105"/>
      <c r="J39" s="105"/>
    </row>
    <row r="40" spans="2:10">
      <c r="B40" s="105"/>
      <c r="C40" s="105"/>
      <c r="D40" s="105"/>
      <c r="E40" s="105"/>
      <c r="F40" s="137"/>
      <c r="G40" s="105"/>
      <c r="H40" s="105"/>
      <c r="I40" s="105"/>
      <c r="J40" s="105"/>
    </row>
    <row r="41" spans="2:10">
      <c r="B41" s="105"/>
      <c r="C41" s="105"/>
      <c r="D41" s="105"/>
      <c r="E41" s="105"/>
      <c r="F41" s="105"/>
      <c r="G41" s="105"/>
      <c r="H41" s="105"/>
      <c r="I41" s="105"/>
      <c r="J41" s="105"/>
    </row>
    <row r="42" spans="2:10">
      <c r="B42" s="105"/>
      <c r="C42" s="105"/>
      <c r="D42" s="105"/>
      <c r="E42" s="105"/>
      <c r="F42" s="105"/>
      <c r="G42" s="105"/>
      <c r="H42" s="105"/>
      <c r="I42" s="105"/>
      <c r="J42" s="105"/>
    </row>
    <row r="44" spans="2:10" ht="27.75">
      <c r="B44" s="105"/>
      <c r="C44" s="120" t="s">
        <v>47</v>
      </c>
      <c r="D44" s="105"/>
      <c r="E44" s="105"/>
      <c r="F44" s="105"/>
      <c r="G44" s="105"/>
      <c r="H44" s="105"/>
      <c r="I44" s="105"/>
      <c r="J44" s="105"/>
    </row>
    <row r="45" spans="2:10" ht="6.4" customHeight="1">
      <c r="B45" s="105"/>
      <c r="C45" s="105"/>
      <c r="D45" s="105"/>
      <c r="E45" s="105"/>
      <c r="F45" s="105"/>
      <c r="G45" s="105"/>
      <c r="H45" s="105"/>
      <c r="I45" s="105"/>
      <c r="J45" s="105"/>
    </row>
    <row r="46" spans="2:10" ht="18.75">
      <c r="B46" s="105"/>
      <c r="C46" s="126"/>
      <c r="D46" s="127" t="s">
        <v>36</v>
      </c>
      <c r="E46" s="127" t="s">
        <v>37</v>
      </c>
      <c r="F46" s="127" t="s">
        <v>38</v>
      </c>
      <c r="G46" s="105"/>
      <c r="H46" s="105"/>
      <c r="I46" s="105"/>
      <c r="J46" s="105"/>
    </row>
    <row r="47" spans="2:10" ht="18.75">
      <c r="B47" s="105"/>
      <c r="C47" s="128" t="s">
        <v>48</v>
      </c>
      <c r="D47" s="129">
        <f>'Uträkningar Snurra'!C8</f>
        <v>3565.5424947916663</v>
      </c>
      <c r="E47" s="129">
        <f>'Uträkningar Snurra'!D8</f>
        <v>594.25708246527768</v>
      </c>
      <c r="F47" s="129">
        <f>'Uträkningar Snurra'!E8</f>
        <v>17.827712473958332</v>
      </c>
      <c r="G47" s="105"/>
      <c r="H47" s="105"/>
      <c r="I47" s="105"/>
      <c r="J47" s="105"/>
    </row>
    <row r="48" spans="2:10" ht="18.75">
      <c r="B48" s="105"/>
      <c r="C48" s="125" t="s">
        <v>49</v>
      </c>
      <c r="D48" s="127"/>
      <c r="E48" s="127"/>
      <c r="F48" s="127"/>
      <c r="G48" s="105"/>
      <c r="H48" s="105"/>
      <c r="I48" s="105"/>
      <c r="J48" s="105"/>
    </row>
    <row r="49" spans="2:10" ht="18.75">
      <c r="B49" s="105"/>
      <c r="C49" s="128" t="s">
        <v>50</v>
      </c>
      <c r="D49" s="129">
        <f>'Uträkningar Snurra'!C11</f>
        <v>3565.5424947916672</v>
      </c>
      <c r="E49" s="129">
        <f>'Uträkningar Snurra'!D11</f>
        <v>594.2570824652779</v>
      </c>
      <c r="F49" s="129">
        <f>'Uträkningar Snurra'!E11</f>
        <v>17.827712473958336</v>
      </c>
      <c r="G49" s="105"/>
      <c r="H49" s="105"/>
      <c r="I49" s="105"/>
      <c r="J49" s="105"/>
    </row>
    <row r="50" spans="2:10">
      <c r="B50" s="105"/>
      <c r="C50" s="125" t="s">
        <v>51</v>
      </c>
      <c r="D50" s="105"/>
      <c r="E50" s="105"/>
      <c r="F50" s="105"/>
      <c r="G50" s="105"/>
      <c r="H50" s="105"/>
      <c r="I50" s="105"/>
      <c r="J50" s="105"/>
    </row>
    <row r="51" spans="2:10" ht="15.75" hidden="1">
      <c r="B51" s="105"/>
      <c r="C51" s="105"/>
      <c r="D51" s="105"/>
      <c r="E51" s="105"/>
      <c r="F51" s="118" t="s">
        <v>43</v>
      </c>
      <c r="G51" s="114"/>
      <c r="H51" s="105"/>
      <c r="I51" s="105"/>
      <c r="J51" s="105"/>
    </row>
    <row r="52" spans="2:10" ht="15.75" hidden="1">
      <c r="B52" s="105"/>
      <c r="C52" s="105"/>
      <c r="D52" s="105"/>
      <c r="E52" s="105"/>
      <c r="F52" s="130" t="str">
        <f>'Klimatpåverkan per energianvänd'!C13</f>
        <v>Mobilkran</v>
      </c>
      <c r="G52" s="138">
        <f>'Klimatpåverkan per energianvänd'!D13</f>
        <v>0.15144960431373344</v>
      </c>
      <c r="H52" s="105"/>
      <c r="I52" s="105"/>
      <c r="J52" s="105"/>
    </row>
    <row r="53" spans="2:10" ht="15.75" hidden="1">
      <c r="B53" s="105"/>
      <c r="C53" s="105"/>
      <c r="D53" s="105"/>
      <c r="E53" s="105"/>
      <c r="F53" s="130" t="str">
        <f>'Klimatpåverkan per energianvänd'!C14</f>
        <v>Grävmaskin</v>
      </c>
      <c r="G53" s="138">
        <f>'Klimatpåverkan per energianvänd'!D14</f>
        <v>0.23853312679413019</v>
      </c>
      <c r="H53" s="105"/>
      <c r="I53" s="105"/>
      <c r="J53" s="105"/>
    </row>
    <row r="54" spans="2:10" ht="15.75" hidden="1">
      <c r="B54" s="105"/>
      <c r="C54" s="105"/>
      <c r="D54" s="105"/>
      <c r="E54" s="105"/>
      <c r="F54" s="130" t="str">
        <f>'Klimatpåverkan per energianvänd'!C15</f>
        <v>Personalbod</v>
      </c>
      <c r="G54" s="138">
        <f>'Klimatpåverkan per energianvänd'!D15</f>
        <v>5.5128357125774505E-2</v>
      </c>
      <c r="H54" s="105"/>
      <c r="I54" s="105"/>
      <c r="J54" s="105"/>
    </row>
    <row r="55" spans="2:10" ht="15.75" hidden="1">
      <c r="B55" s="105"/>
      <c r="C55" s="105"/>
      <c r="D55" s="105"/>
      <c r="E55" s="105"/>
      <c r="F55" s="130" t="str">
        <f>'Klimatpåverkan per energianvänd'!C16</f>
        <v>Värmeluftsfläkt</v>
      </c>
      <c r="G55" s="138">
        <f>'Klimatpåverkan per energianvänd'!D16</f>
        <v>0.42610977213686879</v>
      </c>
      <c r="H55" s="105"/>
      <c r="I55" s="105"/>
      <c r="J55" s="105"/>
    </row>
    <row r="56" spans="2:10" ht="15.75" hidden="1">
      <c r="B56" s="105"/>
      <c r="C56" s="105"/>
      <c r="D56" s="105"/>
      <c r="E56" s="105"/>
      <c r="F56" s="130" t="str">
        <f>'Klimatpåverkan per energianvänd'!C17</f>
        <v>Eldrivna maskiner</v>
      </c>
      <c r="G56" s="138">
        <f>'Klimatpåverkan per energianvänd'!D17</f>
        <v>2.7542559599308517E-2</v>
      </c>
      <c r="H56" s="105"/>
      <c r="I56" s="105"/>
      <c r="J56" s="105"/>
    </row>
    <row r="57" spans="2:10" ht="15.75" hidden="1">
      <c r="B57" s="105"/>
      <c r="C57" s="105"/>
      <c r="D57" s="105"/>
      <c r="E57" s="105"/>
      <c r="F57" s="130" t="str">
        <f>'Klimatpåverkan per energianvänd'!C18</f>
        <v>Inomhusbelysning</v>
      </c>
      <c r="G57" s="138">
        <f>'Klimatpåverkan per energianvänd'!D18</f>
        <v>1.4499568635212897E-2</v>
      </c>
      <c r="H57" s="105"/>
      <c r="I57" s="105"/>
      <c r="J57" s="105"/>
    </row>
    <row r="58" spans="2:10" ht="15.75" hidden="1">
      <c r="B58" s="105"/>
      <c r="C58" s="105"/>
      <c r="D58" s="105"/>
      <c r="E58" s="105"/>
      <c r="F58" s="130" t="str">
        <f>'Klimatpåverkan per energianvänd'!C19</f>
        <v>Utomhusbelysning</v>
      </c>
      <c r="G58" s="138">
        <f>'Klimatpåverkan per energianvänd'!D19</f>
        <v>8.6737011394971517E-2</v>
      </c>
      <c r="H58" s="105"/>
      <c r="I58" s="105"/>
      <c r="J58" s="105"/>
    </row>
    <row r="59" spans="2:10" hidden="1">
      <c r="B59" s="105"/>
      <c r="C59" s="105"/>
      <c r="D59" s="105"/>
      <c r="E59" s="105"/>
      <c r="F59" s="105"/>
      <c r="G59" s="132"/>
      <c r="H59" s="105"/>
      <c r="I59" s="105"/>
      <c r="J59" s="105"/>
    </row>
    <row r="60" spans="2:10" ht="13.9" hidden="1" customHeight="1">
      <c r="B60" s="105"/>
      <c r="C60" s="105"/>
      <c r="D60" s="105"/>
      <c r="E60" s="105"/>
      <c r="F60" s="218" t="s">
        <v>44</v>
      </c>
      <c r="G60" s="218"/>
      <c r="H60" s="218"/>
      <c r="I60" s="218"/>
      <c r="J60" s="105"/>
    </row>
    <row r="61" spans="2:10" hidden="1">
      <c r="B61" s="105"/>
      <c r="C61" s="105"/>
      <c r="D61" s="105"/>
      <c r="E61" s="105"/>
      <c r="F61" s="218"/>
      <c r="G61" s="218"/>
      <c r="H61" s="218"/>
      <c r="I61" s="218"/>
      <c r="J61" s="105"/>
    </row>
    <row r="62" spans="2:10" ht="15" hidden="1" customHeight="1">
      <c r="B62" s="105"/>
      <c r="C62" s="105"/>
      <c r="D62" s="105"/>
      <c r="E62" s="105"/>
      <c r="F62" s="133"/>
      <c r="G62" s="133"/>
      <c r="H62" s="133"/>
      <c r="I62" s="133"/>
      <c r="J62" s="105"/>
    </row>
    <row r="63" spans="2:10" hidden="1">
      <c r="B63" s="105"/>
      <c r="C63" s="105"/>
      <c r="D63" s="105"/>
      <c r="E63" s="105"/>
      <c r="F63" s="139"/>
      <c r="G63" s="139"/>
      <c r="H63" s="139"/>
      <c r="I63" s="139"/>
      <c r="J63" s="106"/>
    </row>
    <row r="64" spans="2:10" ht="13.9" hidden="1" customHeight="1">
      <c r="B64" s="105"/>
      <c r="C64" s="105"/>
      <c r="D64" s="105"/>
      <c r="E64" s="105"/>
      <c r="F64" s="134"/>
      <c r="G64" s="134"/>
      <c r="H64" s="134"/>
      <c r="I64" s="134"/>
      <c r="J64" s="106"/>
    </row>
    <row r="65" spans="2:10" hidden="1">
      <c r="B65" s="105"/>
      <c r="C65" s="105"/>
      <c r="D65" s="105"/>
      <c r="E65" s="105"/>
      <c r="F65" s="106"/>
      <c r="G65" s="140"/>
      <c r="H65" s="140"/>
      <c r="I65" s="106"/>
      <c r="J65" s="106"/>
    </row>
    <row r="66" spans="2:10" hidden="1">
      <c r="B66" s="105"/>
      <c r="C66" s="105"/>
      <c r="D66" s="105"/>
      <c r="E66" s="105"/>
      <c r="F66" s="106"/>
      <c r="G66" s="140"/>
      <c r="H66" s="140"/>
      <c r="I66" s="106"/>
      <c r="J66" s="106"/>
    </row>
    <row r="67" spans="2:10" hidden="1">
      <c r="B67" s="105"/>
      <c r="C67" s="105"/>
      <c r="D67" s="105"/>
      <c r="E67" s="105"/>
      <c r="F67" s="106"/>
      <c r="G67" s="140"/>
      <c r="H67" s="140"/>
      <c r="I67" s="106"/>
      <c r="J67" s="106"/>
    </row>
    <row r="68" spans="2:10" hidden="1">
      <c r="B68" s="105"/>
      <c r="C68" s="105"/>
      <c r="D68" s="105"/>
      <c r="E68" s="105"/>
      <c r="F68" s="137"/>
      <c r="G68" s="106"/>
      <c r="H68" s="106"/>
      <c r="I68" s="106"/>
      <c r="J68" s="106"/>
    </row>
    <row r="69" spans="2:10" hidden="1">
      <c r="B69" s="105"/>
      <c r="C69" s="105"/>
      <c r="D69" s="105"/>
      <c r="E69" s="105"/>
      <c r="F69" s="137"/>
      <c r="G69" s="106"/>
      <c r="H69" s="106"/>
      <c r="I69" s="106"/>
      <c r="J69" s="106"/>
    </row>
    <row r="70" spans="2:10" hidden="1">
      <c r="B70" s="105"/>
      <c r="C70" s="105"/>
      <c r="D70" s="105"/>
      <c r="E70" s="105"/>
      <c r="F70" s="106"/>
      <c r="G70" s="106"/>
      <c r="H70" s="106"/>
      <c r="I70" s="106"/>
      <c r="J70" s="106"/>
    </row>
    <row r="71" spans="2:10" hidden="1">
      <c r="B71" s="105"/>
      <c r="C71" s="105"/>
      <c r="D71" s="105"/>
      <c r="E71" s="105"/>
      <c r="F71" s="105"/>
      <c r="G71" s="105"/>
      <c r="H71" s="105"/>
      <c r="I71" s="105"/>
      <c r="J71" s="105"/>
    </row>
    <row r="72" spans="2:10" hidden="1">
      <c r="B72" s="105"/>
      <c r="C72" s="105"/>
      <c r="D72" s="105"/>
      <c r="E72" s="105"/>
      <c r="F72" s="105"/>
      <c r="G72" s="105"/>
      <c r="H72" s="105"/>
      <c r="I72" s="105"/>
      <c r="J72" s="105"/>
    </row>
    <row r="73" spans="2:10" hidden="1">
      <c r="B73" s="105"/>
      <c r="C73" s="105"/>
      <c r="D73" s="105"/>
      <c r="E73" s="105"/>
      <c r="F73" s="105"/>
      <c r="G73" s="105"/>
      <c r="H73" s="105"/>
      <c r="I73" s="105"/>
      <c r="J73" s="105"/>
    </row>
    <row r="74" spans="2:10">
      <c r="B74" s="105"/>
      <c r="C74" s="105"/>
      <c r="D74" s="105"/>
      <c r="E74" s="105"/>
      <c r="F74" s="105"/>
      <c r="G74" s="105"/>
      <c r="H74" s="105"/>
      <c r="I74" s="105"/>
      <c r="J74" s="105"/>
    </row>
    <row r="76" spans="2:10" ht="27.75">
      <c r="B76" s="105"/>
      <c r="C76" s="120" t="s">
        <v>52</v>
      </c>
      <c r="D76" s="105"/>
      <c r="E76" s="105"/>
      <c r="F76" s="105"/>
      <c r="G76" s="105"/>
      <c r="H76" s="105"/>
      <c r="I76" s="105"/>
      <c r="J76" s="105"/>
    </row>
    <row r="77" spans="2:10">
      <c r="B77" s="105"/>
      <c r="C77" s="105"/>
      <c r="D77" s="105"/>
      <c r="E77" s="105"/>
      <c r="F77" s="105"/>
      <c r="G77" s="105"/>
      <c r="H77" s="105"/>
      <c r="I77" s="105"/>
      <c r="J77" s="105"/>
    </row>
    <row r="78" spans="2:10" ht="20.25">
      <c r="B78" s="105"/>
      <c r="C78" s="141" t="s">
        <v>53</v>
      </c>
      <c r="D78" s="112"/>
      <c r="E78" s="112"/>
      <c r="F78" s="112"/>
      <c r="G78" s="105"/>
      <c r="H78" s="105"/>
      <c r="I78" s="105"/>
      <c r="J78" s="105"/>
    </row>
    <row r="79" spans="2:10" ht="15" customHeight="1">
      <c r="B79" s="105"/>
      <c r="C79" s="214"/>
      <c r="D79" s="214"/>
      <c r="E79" s="214"/>
      <c r="F79" s="214"/>
      <c r="G79" s="105"/>
      <c r="H79" s="105"/>
      <c r="I79" s="105"/>
      <c r="J79" s="105"/>
    </row>
    <row r="80" spans="2:10" ht="15" customHeight="1">
      <c r="B80" s="105"/>
      <c r="C80" s="214"/>
      <c r="D80" s="214"/>
      <c r="E80" s="214"/>
      <c r="F80" s="214"/>
      <c r="G80" s="105"/>
      <c r="H80" s="105"/>
      <c r="I80" s="105"/>
      <c r="J80" s="105"/>
    </row>
    <row r="81" spans="2:10" ht="15" customHeight="1">
      <c r="B81" s="105"/>
      <c r="C81" s="214"/>
      <c r="D81" s="214"/>
      <c r="E81" s="214"/>
      <c r="F81" s="214"/>
      <c r="G81" s="105"/>
      <c r="H81" s="105"/>
      <c r="I81" s="105"/>
      <c r="J81" s="105"/>
    </row>
    <row r="82" spans="2:10" ht="15" customHeight="1">
      <c r="B82" s="105"/>
      <c r="C82" s="214"/>
      <c r="D82" s="214"/>
      <c r="E82" s="214"/>
      <c r="F82" s="214"/>
      <c r="G82" s="105"/>
      <c r="H82" s="105"/>
      <c r="I82" s="105"/>
      <c r="J82" s="105"/>
    </row>
    <row r="83" spans="2:10" ht="20.25" customHeight="1">
      <c r="B83" s="105"/>
      <c r="C83" s="214"/>
      <c r="D83" s="214"/>
      <c r="E83" s="214"/>
      <c r="F83" s="214"/>
      <c r="G83" s="105"/>
      <c r="H83" s="105"/>
      <c r="I83" s="105"/>
      <c r="J83" s="105"/>
    </row>
    <row r="84" spans="2:10" ht="20.25">
      <c r="B84" s="105"/>
      <c r="C84" s="112"/>
      <c r="D84" s="112"/>
      <c r="E84" s="112"/>
      <c r="F84" s="112"/>
      <c r="G84" s="105"/>
      <c r="H84" s="105"/>
      <c r="I84" s="105"/>
      <c r="J84" s="105"/>
    </row>
    <row r="85" spans="2:10" ht="20.25">
      <c r="B85" s="105"/>
      <c r="C85" s="111" t="s">
        <v>54</v>
      </c>
      <c r="D85" s="100" t="s">
        <v>55</v>
      </c>
      <c r="E85" s="108"/>
      <c r="F85" s="112"/>
      <c r="G85" s="105"/>
      <c r="H85" s="105"/>
      <c r="I85" s="105"/>
      <c r="J85" s="105"/>
    </row>
    <row r="86" spans="2:10" ht="12.6" customHeight="1">
      <c r="B86" s="105"/>
      <c r="C86" s="114"/>
      <c r="D86" s="114"/>
      <c r="E86" s="108"/>
      <c r="F86" s="112"/>
      <c r="G86" s="105"/>
      <c r="H86" s="105"/>
      <c r="I86" s="105"/>
      <c r="J86" s="105"/>
    </row>
    <row r="87" spans="2:10" ht="20.25">
      <c r="B87" s="105"/>
      <c r="C87" s="111" t="s">
        <v>56</v>
      </c>
      <c r="D87" s="100" t="s">
        <v>57</v>
      </c>
      <c r="E87" s="108"/>
      <c r="F87" s="112"/>
      <c r="G87" s="105"/>
      <c r="H87" s="105"/>
      <c r="I87" s="105"/>
      <c r="J87" s="105"/>
    </row>
    <row r="88" spans="2:10" ht="12.6" customHeight="1">
      <c r="B88" s="105"/>
      <c r="C88" s="114"/>
      <c r="D88" s="114"/>
      <c r="E88" s="108"/>
      <c r="F88" s="112"/>
      <c r="G88" s="105"/>
      <c r="H88" s="105"/>
      <c r="I88" s="105"/>
      <c r="J88" s="105"/>
    </row>
    <row r="89" spans="2:10" ht="20.25">
      <c r="B89" s="105"/>
      <c r="C89" s="111" t="s">
        <v>58</v>
      </c>
      <c r="D89" s="100" t="s">
        <v>59</v>
      </c>
      <c r="E89" s="108"/>
      <c r="F89" s="112"/>
      <c r="G89" s="105"/>
      <c r="H89" s="105"/>
      <c r="I89" s="105"/>
      <c r="J89" s="105"/>
    </row>
    <row r="90" spans="2:10" ht="12.6" customHeight="1">
      <c r="B90" s="105"/>
      <c r="C90" s="114"/>
      <c r="D90" s="108"/>
      <c r="E90" s="108"/>
      <c r="F90" s="112"/>
      <c r="G90" s="105"/>
      <c r="H90" s="105"/>
      <c r="I90" s="105"/>
      <c r="J90" s="105"/>
    </row>
    <row r="91" spans="2:10" ht="20.25">
      <c r="B91" s="105"/>
      <c r="C91" s="111" t="s">
        <v>60</v>
      </c>
      <c r="D91" s="101">
        <v>200</v>
      </c>
      <c r="E91" s="114" t="s">
        <v>61</v>
      </c>
      <c r="F91" s="112"/>
      <c r="G91" s="105"/>
      <c r="H91" s="105"/>
      <c r="I91" s="105"/>
      <c r="J91" s="105"/>
    </row>
    <row r="92" spans="2:10" ht="12.6" customHeight="1">
      <c r="B92" s="105"/>
      <c r="C92" s="114"/>
      <c r="D92" s="110"/>
      <c r="E92" s="114"/>
      <c r="F92" s="112"/>
      <c r="G92" s="105"/>
      <c r="H92" s="105"/>
      <c r="I92" s="105"/>
      <c r="J92" s="105"/>
    </row>
    <row r="93" spans="2:10" ht="20.25">
      <c r="B93" s="105"/>
      <c r="C93" s="111" t="s">
        <v>62</v>
      </c>
      <c r="D93" s="101">
        <v>6</v>
      </c>
      <c r="E93" s="114" t="s">
        <v>63</v>
      </c>
      <c r="F93" s="122"/>
      <c r="G93" s="105"/>
      <c r="H93" s="105"/>
      <c r="I93" s="105"/>
      <c r="J93" s="105"/>
    </row>
    <row r="94" spans="2:10">
      <c r="B94" s="105"/>
      <c r="C94" s="105"/>
      <c r="D94" s="105"/>
      <c r="E94" s="105"/>
      <c r="F94" s="105"/>
      <c r="G94" s="105"/>
      <c r="H94" s="105"/>
      <c r="I94" s="105"/>
      <c r="J94" s="105"/>
    </row>
    <row r="96" spans="2:10" ht="27.75">
      <c r="B96" s="105"/>
      <c r="C96" s="120" t="s">
        <v>64</v>
      </c>
      <c r="D96" s="105"/>
      <c r="E96" s="105"/>
      <c r="F96" s="105"/>
      <c r="G96" s="105"/>
      <c r="H96" s="105"/>
      <c r="I96" s="105"/>
      <c r="J96" s="105"/>
    </row>
    <row r="97" spans="2:10" ht="8.4499999999999993" customHeight="1">
      <c r="B97" s="105"/>
      <c r="C97" s="121"/>
      <c r="D97" s="105"/>
      <c r="E97" s="105"/>
      <c r="F97" s="105"/>
      <c r="G97" s="105"/>
      <c r="H97" s="105"/>
      <c r="I97" s="105"/>
      <c r="J97" s="105"/>
    </row>
    <row r="98" spans="2:10" ht="20.25">
      <c r="B98" s="105"/>
      <c r="C98" s="112" t="s">
        <v>65</v>
      </c>
      <c r="D98" s="105"/>
      <c r="E98" s="105"/>
      <c r="F98" s="119"/>
      <c r="G98" s="105"/>
      <c r="H98" s="105"/>
      <c r="I98" s="105"/>
      <c r="J98" s="105"/>
    </row>
    <row r="99" spans="2:10" ht="6.4" customHeight="1">
      <c r="B99" s="105"/>
      <c r="C99" s="112"/>
      <c r="D99" s="105"/>
      <c r="E99" s="105"/>
      <c r="F99" s="119"/>
      <c r="G99" s="105"/>
      <c r="H99" s="105"/>
      <c r="I99" s="105"/>
      <c r="J99" s="105"/>
    </row>
    <row r="100" spans="2:10" ht="15.75">
      <c r="B100" s="105"/>
      <c r="C100" s="113" t="s">
        <v>66</v>
      </c>
      <c r="D100" s="102" t="s">
        <v>67</v>
      </c>
      <c r="E100" s="105" t="s">
        <v>68</v>
      </c>
      <c r="F100" s="119"/>
      <c r="G100" s="105"/>
      <c r="H100" s="105"/>
      <c r="I100" s="105"/>
      <c r="J100" s="105"/>
    </row>
    <row r="101" spans="2:10" ht="15.75">
      <c r="B101" s="105"/>
      <c r="C101" s="114"/>
      <c r="D101" s="114"/>
      <c r="E101" s="114"/>
      <c r="F101" s="118"/>
      <c r="G101" s="114"/>
      <c r="H101" s="105"/>
      <c r="I101" s="105"/>
      <c r="J101" s="105"/>
    </row>
    <row r="102" spans="2:10" ht="15.75">
      <c r="B102" s="105"/>
      <c r="C102" s="113" t="s">
        <v>9</v>
      </c>
      <c r="D102" s="102" t="s">
        <v>69</v>
      </c>
      <c r="E102" s="114"/>
      <c r="F102" s="118"/>
      <c r="G102" s="114"/>
      <c r="H102" s="105"/>
      <c r="I102" s="105"/>
      <c r="J102" s="105"/>
    </row>
    <row r="103" spans="2:10" ht="6.4" customHeight="1">
      <c r="B103" s="105"/>
      <c r="C103" s="108"/>
      <c r="D103" s="113"/>
      <c r="E103" s="113"/>
      <c r="F103" s="114"/>
      <c r="G103" s="108"/>
      <c r="H103" s="105"/>
      <c r="I103" s="105"/>
      <c r="J103" s="105"/>
    </row>
    <row r="104" spans="2:10" ht="15.75">
      <c r="B104" s="105"/>
      <c r="C104" s="109" t="s">
        <v>70</v>
      </c>
      <c r="D104" s="103">
        <v>1</v>
      </c>
      <c r="E104" s="108" t="s">
        <v>71</v>
      </c>
      <c r="F104" s="108"/>
      <c r="G104" s="108"/>
      <c r="H104" s="105"/>
      <c r="I104" s="105"/>
      <c r="J104" s="105"/>
    </row>
    <row r="105" spans="2:10" ht="15.75">
      <c r="B105" s="105"/>
      <c r="C105" s="109"/>
      <c r="D105" s="108"/>
      <c r="E105" s="108"/>
      <c r="F105" s="108"/>
      <c r="G105" s="108"/>
      <c r="H105" s="105"/>
      <c r="I105" s="105"/>
      <c r="J105" s="105"/>
    </row>
    <row r="106" spans="2:10" ht="15.75">
      <c r="B106" s="105"/>
      <c r="C106" s="109" t="s">
        <v>72</v>
      </c>
      <c r="D106" s="103">
        <v>2</v>
      </c>
      <c r="E106" s="108" t="s">
        <v>73</v>
      </c>
      <c r="F106" s="108"/>
      <c r="G106" s="108"/>
      <c r="H106" s="105"/>
      <c r="I106" s="105"/>
      <c r="J106" s="105"/>
    </row>
    <row r="107" spans="2:10" ht="15.75">
      <c r="B107" s="105"/>
      <c r="C107" s="109"/>
      <c r="D107" s="109"/>
      <c r="E107" s="108"/>
      <c r="F107" s="108"/>
      <c r="G107" s="108"/>
      <c r="H107" s="105"/>
      <c r="I107" s="105"/>
      <c r="J107" s="105"/>
    </row>
    <row r="108" spans="2:10" ht="15.75">
      <c r="B108" s="105"/>
      <c r="C108" s="108" t="s">
        <v>74</v>
      </c>
      <c r="D108" s="104" t="s">
        <v>75</v>
      </c>
      <c r="E108" s="117" t="s">
        <v>68</v>
      </c>
      <c r="F108" s="117"/>
      <c r="G108" s="117"/>
      <c r="H108" s="105"/>
      <c r="I108" s="105"/>
      <c r="J108" s="105"/>
    </row>
    <row r="109" spans="2:10" ht="15.75">
      <c r="B109" s="105"/>
      <c r="C109" s="108"/>
      <c r="D109" s="108"/>
      <c r="E109" s="108"/>
      <c r="F109" s="114"/>
      <c r="G109" s="108"/>
      <c r="H109" s="105"/>
      <c r="I109" s="105"/>
      <c r="J109" s="105"/>
    </row>
    <row r="110" spans="2:10" ht="15.75">
      <c r="B110" s="105"/>
      <c r="C110" s="113" t="s">
        <v>10</v>
      </c>
      <c r="D110" s="103" t="s">
        <v>69</v>
      </c>
      <c r="E110" s="113"/>
      <c r="F110" s="114"/>
      <c r="G110" s="108"/>
      <c r="H110" s="105"/>
      <c r="I110" s="105"/>
      <c r="J110" s="105"/>
    </row>
    <row r="111" spans="2:10" ht="6.4" customHeight="1">
      <c r="B111" s="105"/>
      <c r="C111" s="108"/>
      <c r="D111" s="108"/>
      <c r="E111" s="108"/>
      <c r="F111" s="114"/>
      <c r="G111" s="108"/>
      <c r="H111" s="105"/>
      <c r="I111" s="105"/>
      <c r="J111" s="105"/>
    </row>
    <row r="112" spans="2:10" ht="15.75">
      <c r="B112" s="105"/>
      <c r="C112" s="109" t="s">
        <v>70</v>
      </c>
      <c r="D112" s="103">
        <v>1</v>
      </c>
      <c r="E112" s="108" t="s">
        <v>71</v>
      </c>
      <c r="F112" s="109"/>
      <c r="G112" s="109"/>
      <c r="H112" s="105"/>
      <c r="I112" s="105"/>
      <c r="J112" s="105"/>
    </row>
    <row r="113" spans="2:10" ht="15.75">
      <c r="B113" s="105"/>
      <c r="C113" s="109"/>
      <c r="D113" s="108"/>
      <c r="E113" s="108"/>
      <c r="F113" s="109"/>
      <c r="G113" s="109"/>
      <c r="H113" s="105"/>
      <c r="I113" s="105"/>
      <c r="J113" s="105"/>
    </row>
    <row r="114" spans="2:10" ht="15.75">
      <c r="B114" s="105"/>
      <c r="C114" s="109" t="s">
        <v>72</v>
      </c>
      <c r="D114" s="103">
        <v>1</v>
      </c>
      <c r="E114" s="108" t="s">
        <v>76</v>
      </c>
      <c r="F114" s="109"/>
      <c r="G114" s="109"/>
      <c r="H114" s="105"/>
      <c r="I114" s="105"/>
      <c r="J114" s="105"/>
    </row>
    <row r="115" spans="2:10" ht="15.75">
      <c r="B115" s="105"/>
      <c r="C115" s="109"/>
      <c r="D115" s="109"/>
      <c r="E115" s="108"/>
      <c r="F115" s="109"/>
      <c r="G115" s="109"/>
      <c r="H115" s="105"/>
      <c r="I115" s="105"/>
      <c r="J115" s="105"/>
    </row>
    <row r="116" spans="2:10" ht="15.75">
      <c r="B116" s="105"/>
      <c r="C116" s="108" t="s">
        <v>74</v>
      </c>
      <c r="D116" s="104" t="s">
        <v>77</v>
      </c>
      <c r="E116" s="117" t="s">
        <v>68</v>
      </c>
      <c r="F116" s="108"/>
      <c r="G116" s="108"/>
      <c r="H116" s="105"/>
      <c r="I116" s="105"/>
      <c r="J116" s="105"/>
    </row>
    <row r="117" spans="2:10">
      <c r="B117" s="105"/>
      <c r="C117" s="105"/>
      <c r="D117" s="106"/>
      <c r="E117" s="106"/>
      <c r="F117" s="105"/>
      <c r="G117" s="106"/>
      <c r="H117" s="105"/>
      <c r="I117" s="105"/>
      <c r="J117" s="105"/>
    </row>
    <row r="118" spans="2:10" ht="20.25">
      <c r="B118" s="105"/>
      <c r="C118" s="112" t="s">
        <v>78</v>
      </c>
      <c r="D118" s="106"/>
      <c r="E118" s="115"/>
      <c r="F118" s="105"/>
      <c r="G118" s="106"/>
      <c r="H118" s="105"/>
      <c r="I118" s="105"/>
      <c r="J118" s="105"/>
    </row>
    <row r="119" spans="2:10" ht="6.4" customHeight="1">
      <c r="B119" s="105"/>
      <c r="C119" s="116"/>
      <c r="D119" s="106"/>
      <c r="E119" s="115"/>
      <c r="F119" s="105"/>
      <c r="G119" s="106"/>
      <c r="H119" s="105"/>
      <c r="I119" s="105"/>
      <c r="J119" s="105"/>
    </row>
    <row r="120" spans="2:10" ht="15.75">
      <c r="B120" s="105"/>
      <c r="C120" s="113" t="s">
        <v>79</v>
      </c>
      <c r="D120" s="103" t="s">
        <v>69</v>
      </c>
      <c r="E120" s="113"/>
      <c r="F120" s="114"/>
      <c r="G120" s="113"/>
      <c r="H120" s="105"/>
      <c r="I120" s="105"/>
      <c r="J120" s="105"/>
    </row>
    <row r="121" spans="2:10" ht="6.4" customHeight="1">
      <c r="B121" s="105"/>
      <c r="C121" s="108"/>
      <c r="D121" s="113"/>
      <c r="E121" s="113"/>
      <c r="F121" s="113"/>
      <c r="G121" s="113"/>
      <c r="H121" s="105"/>
      <c r="I121" s="105"/>
      <c r="J121" s="105"/>
    </row>
    <row r="122" spans="2:10" ht="15.75">
      <c r="B122" s="105"/>
      <c r="C122" s="109" t="s">
        <v>70</v>
      </c>
      <c r="D122" s="103">
        <v>1</v>
      </c>
      <c r="E122" s="108" t="s">
        <v>71</v>
      </c>
      <c r="F122" s="108"/>
      <c r="G122" s="108"/>
      <c r="H122" s="105"/>
      <c r="I122" s="105"/>
      <c r="J122" s="105"/>
    </row>
    <row r="123" spans="2:10" ht="15.75">
      <c r="B123" s="105"/>
      <c r="C123" s="109"/>
      <c r="D123" s="108"/>
      <c r="E123" s="108"/>
      <c r="F123" s="108"/>
      <c r="G123" s="108"/>
      <c r="H123" s="105"/>
      <c r="I123" s="105"/>
      <c r="J123" s="105"/>
    </row>
    <row r="124" spans="2:10" ht="15.75">
      <c r="B124" s="105"/>
      <c r="C124" s="109" t="s">
        <v>80</v>
      </c>
      <c r="D124" s="103" t="s">
        <v>81</v>
      </c>
      <c r="E124" s="108" t="s">
        <v>68</v>
      </c>
      <c r="F124" s="108"/>
      <c r="G124" s="108"/>
      <c r="H124" s="105"/>
      <c r="I124" s="105"/>
      <c r="J124" s="105"/>
    </row>
    <row r="125" spans="2:10" ht="15.75">
      <c r="B125" s="105"/>
      <c r="C125" s="109"/>
      <c r="D125" s="108" t="str">
        <f>IF(D124=Listor!C19,"*Med energisnål menas en extra isolerad bod med LED-belysning"," ")</f>
        <v xml:space="preserve"> </v>
      </c>
      <c r="E125" s="108"/>
      <c r="F125" s="108"/>
      <c r="G125" s="108"/>
      <c r="H125" s="105"/>
      <c r="I125" s="105"/>
      <c r="J125" s="105"/>
    </row>
    <row r="126" spans="2:10">
      <c r="B126" s="105"/>
      <c r="C126" s="105"/>
      <c r="D126" s="106"/>
      <c r="E126" s="106"/>
      <c r="F126" s="106"/>
      <c r="G126" s="106"/>
      <c r="H126" s="105"/>
      <c r="I126" s="105"/>
      <c r="J126" s="105"/>
    </row>
    <row r="127" spans="2:10" ht="20.25">
      <c r="B127" s="105"/>
      <c r="C127" s="112" t="s">
        <v>12</v>
      </c>
      <c r="D127" s="106"/>
      <c r="E127" s="106"/>
      <c r="F127" s="106"/>
      <c r="G127" s="106"/>
      <c r="H127" s="105"/>
      <c r="I127" s="105"/>
      <c r="J127" s="105"/>
    </row>
    <row r="128" spans="2:10" ht="6.4" customHeight="1">
      <c r="B128" s="105"/>
      <c r="C128" s="105"/>
      <c r="D128" s="105"/>
      <c r="E128" s="105"/>
      <c r="F128" s="106"/>
      <c r="G128" s="105"/>
      <c r="H128" s="105"/>
      <c r="I128" s="105"/>
      <c r="J128" s="105"/>
    </row>
    <row r="129" spans="2:10" ht="15.75">
      <c r="B129" s="105"/>
      <c r="C129" s="111" t="s">
        <v>82</v>
      </c>
      <c r="D129" s="103" t="s">
        <v>69</v>
      </c>
      <c r="E129" s="108"/>
      <c r="F129" s="108"/>
      <c r="G129" s="108"/>
      <c r="H129" s="105"/>
      <c r="I129" s="105"/>
      <c r="J129" s="105"/>
    </row>
    <row r="130" spans="2:10" ht="6.4" customHeight="1">
      <c r="B130" s="105"/>
      <c r="C130" s="108"/>
      <c r="D130" s="108"/>
      <c r="E130" s="108"/>
      <c r="F130" s="108"/>
      <c r="G130" s="108"/>
      <c r="H130" s="105"/>
      <c r="I130" s="105"/>
      <c r="J130" s="105"/>
    </row>
    <row r="131" spans="2:10" ht="15.75">
      <c r="B131" s="105"/>
      <c r="C131" s="109" t="s">
        <v>83</v>
      </c>
      <c r="D131" s="103">
        <v>1</v>
      </c>
      <c r="E131" s="108" t="s">
        <v>71</v>
      </c>
      <c r="F131" s="108"/>
      <c r="G131" s="108"/>
      <c r="H131" s="105"/>
      <c r="I131" s="105"/>
      <c r="J131" s="105"/>
    </row>
    <row r="132" spans="2:10" ht="15.75">
      <c r="B132" s="105"/>
      <c r="C132" s="109"/>
      <c r="D132" s="108"/>
      <c r="E132" s="108"/>
      <c r="F132" s="108"/>
      <c r="G132" s="108"/>
      <c r="H132" s="105"/>
      <c r="I132" s="105"/>
      <c r="J132" s="105"/>
    </row>
    <row r="133" spans="2:10" ht="15.75">
      <c r="B133" s="105"/>
      <c r="C133" s="109" t="s">
        <v>84</v>
      </c>
      <c r="D133" s="103">
        <v>9</v>
      </c>
      <c r="E133" s="108" t="s">
        <v>68</v>
      </c>
      <c r="F133" s="108"/>
      <c r="G133" s="108"/>
      <c r="H133" s="105"/>
      <c r="I133" s="105"/>
      <c r="J133" s="105"/>
    </row>
    <row r="134" spans="2:10" ht="15.75">
      <c r="B134" s="105"/>
      <c r="C134" s="109"/>
      <c r="D134" s="108"/>
      <c r="E134" s="108"/>
      <c r="F134" s="108"/>
      <c r="G134" s="108"/>
      <c r="H134" s="105"/>
      <c r="I134" s="105"/>
      <c r="J134" s="105"/>
    </row>
    <row r="135" spans="2:10" ht="15.75">
      <c r="B135" s="105"/>
      <c r="C135" s="109" t="s">
        <v>85</v>
      </c>
      <c r="D135" s="103" t="s">
        <v>15</v>
      </c>
      <c r="E135" s="108" t="s">
        <v>68</v>
      </c>
      <c r="F135" s="108"/>
      <c r="G135" s="108"/>
      <c r="H135" s="105"/>
      <c r="I135" s="105"/>
      <c r="J135" s="105"/>
    </row>
    <row r="136" spans="2:10" ht="15.75">
      <c r="B136" s="105"/>
      <c r="C136" s="109"/>
      <c r="D136" s="108" t="str">
        <f>IF(D135=Listor!C33,"*Antar värmeluftsfläkt första månaden och resterande byggtid golvvärme"," ")</f>
        <v xml:space="preserve"> </v>
      </c>
      <c r="E136" s="108"/>
      <c r="F136" s="108"/>
      <c r="G136" s="108"/>
      <c r="H136" s="105"/>
      <c r="I136" s="105"/>
      <c r="J136" s="105"/>
    </row>
    <row r="137" spans="2:10">
      <c r="B137" s="105"/>
      <c r="C137" s="105"/>
      <c r="D137" s="106"/>
      <c r="E137" s="106"/>
      <c r="F137" s="106"/>
      <c r="G137" s="106"/>
      <c r="H137" s="105"/>
      <c r="I137" s="105"/>
      <c r="J137" s="105"/>
    </row>
    <row r="138" spans="2:10" ht="20.25">
      <c r="B138" s="105"/>
      <c r="C138" s="112" t="s">
        <v>86</v>
      </c>
      <c r="D138" s="106"/>
      <c r="E138" s="106"/>
      <c r="F138" s="106"/>
      <c r="G138" s="106"/>
      <c r="H138" s="105"/>
      <c r="I138" s="105"/>
      <c r="J138" s="105"/>
    </row>
    <row r="139" spans="2:10" ht="6.4" customHeight="1">
      <c r="B139" s="105"/>
      <c r="C139" s="105"/>
      <c r="D139" s="106"/>
      <c r="E139" s="106"/>
      <c r="F139" s="106"/>
      <c r="G139" s="106"/>
      <c r="H139" s="105"/>
      <c r="I139" s="105"/>
      <c r="J139" s="105"/>
    </row>
    <row r="140" spans="2:10" ht="15.75">
      <c r="B140" s="105"/>
      <c r="C140" s="111" t="s">
        <v>13</v>
      </c>
      <c r="D140" s="103" t="s">
        <v>69</v>
      </c>
      <c r="E140" s="108"/>
      <c r="F140" s="108"/>
      <c r="G140" s="108"/>
      <c r="H140" s="105"/>
      <c r="I140" s="105"/>
      <c r="J140" s="105"/>
    </row>
    <row r="141" spans="2:10" ht="6.4" customHeight="1">
      <c r="B141" s="105"/>
      <c r="C141" s="108"/>
      <c r="D141" s="110"/>
      <c r="E141" s="110"/>
      <c r="F141" s="110"/>
      <c r="G141" s="110"/>
      <c r="H141" s="105"/>
      <c r="I141" s="105"/>
      <c r="J141" s="105"/>
    </row>
    <row r="142" spans="2:10" ht="15.75">
      <c r="B142" s="105"/>
      <c r="C142" s="109" t="s">
        <v>70</v>
      </c>
      <c r="D142" s="103">
        <v>4</v>
      </c>
      <c r="E142" s="108" t="s">
        <v>71</v>
      </c>
      <c r="F142" s="108"/>
      <c r="G142" s="108"/>
      <c r="H142" s="105"/>
      <c r="I142" s="105"/>
      <c r="J142" s="105"/>
    </row>
    <row r="143" spans="2:10" ht="15.75">
      <c r="B143" s="105"/>
      <c r="C143" s="109"/>
      <c r="D143" s="108"/>
      <c r="E143" s="108"/>
      <c r="F143" s="108"/>
      <c r="G143" s="108"/>
      <c r="H143" s="105"/>
      <c r="I143" s="105"/>
      <c r="J143" s="105"/>
    </row>
    <row r="144" spans="2:10" ht="15.75">
      <c r="B144" s="105"/>
      <c r="C144" s="109" t="s">
        <v>80</v>
      </c>
      <c r="D144" s="103" t="s">
        <v>87</v>
      </c>
      <c r="E144" s="108" t="s">
        <v>68</v>
      </c>
      <c r="F144" s="108"/>
      <c r="G144" s="108"/>
      <c r="H144" s="105"/>
      <c r="I144" s="105"/>
      <c r="J144" s="105"/>
    </row>
    <row r="145" spans="2:10" ht="15.75">
      <c r="B145" s="105"/>
      <c r="C145" s="109"/>
      <c r="D145" s="108"/>
      <c r="E145" s="108"/>
      <c r="F145" s="108"/>
      <c r="G145" s="108"/>
      <c r="H145" s="105"/>
      <c r="I145" s="105"/>
      <c r="J145" s="105"/>
    </row>
    <row r="146" spans="2:10" ht="15.75">
      <c r="B146" s="105"/>
      <c r="C146" s="109" t="s">
        <v>88</v>
      </c>
      <c r="D146" s="103" t="s">
        <v>15</v>
      </c>
      <c r="E146" s="108" t="s">
        <v>68</v>
      </c>
      <c r="F146" s="108"/>
      <c r="G146" s="108"/>
      <c r="H146" s="105"/>
      <c r="I146" s="105"/>
      <c r="J146" s="105"/>
    </row>
    <row r="147" spans="2:10">
      <c r="B147" s="105"/>
      <c r="C147" s="105"/>
      <c r="D147" s="105"/>
      <c r="E147" s="105"/>
      <c r="F147" s="106"/>
      <c r="G147" s="105"/>
      <c r="H147" s="105"/>
      <c r="I147" s="105"/>
      <c r="J147" s="105"/>
    </row>
    <row r="148" spans="2:10">
      <c r="B148" s="105"/>
      <c r="C148" s="105"/>
      <c r="D148" s="105"/>
      <c r="E148" s="105"/>
      <c r="F148" s="105"/>
      <c r="G148" s="105"/>
      <c r="H148" s="105"/>
      <c r="I148" s="105"/>
      <c r="J148" s="105"/>
    </row>
  </sheetData>
  <sheetProtection algorithmName="SHA-512" hashValue="HJOexGd8nQUtXTgbXyCbPgaYsgq1DOkTZLpCNfVbONJLdXtnff7nVe7js/AzKZoStEj7UpS2zFokTBLME2S3eA==" saltValue="ZRFpQMFYJh5X+ZJQ+JzgIg==" spinCount="100000" sheet="1" objects="1" scenarios="1"/>
  <dataConsolidate/>
  <mergeCells count="7">
    <mergeCell ref="C79:F83"/>
    <mergeCell ref="C8:D8"/>
    <mergeCell ref="C9:D9"/>
    <mergeCell ref="C10:D10"/>
    <mergeCell ref="C11:D11"/>
    <mergeCell ref="F60:I61"/>
    <mergeCell ref="F29:I30"/>
  </mergeCells>
  <pageMargins left="0.7" right="0.7" top="0.75" bottom="0.75" header="0.3" footer="0.3"/>
  <pageSetup paperSize="9" scale="38" fitToWidth="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4" id="{94C449E7-DF22-457B-BCCA-7D89DF94072F}">
            <xm:f>$D$102=Listor!$C$40</xm:f>
            <x14:dxf>
              <font>
                <color theme="2" tint="-0.499984740745262"/>
              </font>
              <fill>
                <patternFill>
                  <bgColor theme="2" tint="-9.9948118533890809E-2"/>
                </patternFill>
              </fill>
            </x14:dxf>
          </x14:cfRule>
          <xm:sqref>C104:G108</xm:sqref>
        </x14:conditionalFormatting>
        <x14:conditionalFormatting xmlns:xm="http://schemas.microsoft.com/office/excel/2006/main">
          <x14:cfRule type="expression" priority="15" id="{DBAFA1F8-5E2B-442A-B1AD-DC5459E26C94}">
            <xm:f>$D$110=Listor!$C$40</xm:f>
            <x14:dxf>
              <font>
                <color theme="2" tint="-0.499984740745262"/>
              </font>
              <fill>
                <patternFill>
                  <bgColor theme="2" tint="-9.9948118533890809E-2"/>
                </patternFill>
              </fill>
            </x14:dxf>
          </x14:cfRule>
          <xm:sqref>C112:G116</xm:sqref>
        </x14:conditionalFormatting>
        <x14:conditionalFormatting xmlns:xm="http://schemas.microsoft.com/office/excel/2006/main">
          <x14:cfRule type="expression" priority="16" id="{7C02CFBC-74E8-4D55-B91C-CB5CA27F5AF0}">
            <xm:f>$D$120=Listor!$C$40</xm:f>
            <x14:dxf>
              <font>
                <color theme="2" tint="-0.499984740745262"/>
              </font>
              <fill>
                <patternFill>
                  <bgColor theme="2" tint="-9.9948118533890809E-2"/>
                </patternFill>
              </fill>
            </x14:dxf>
          </x14:cfRule>
          <xm:sqref>C122:G125</xm:sqref>
        </x14:conditionalFormatting>
        <x14:conditionalFormatting xmlns:xm="http://schemas.microsoft.com/office/excel/2006/main">
          <x14:cfRule type="expression" priority="17" id="{2ED67524-22E3-4B82-B1A2-D41AA1F36ABA}">
            <xm:f>$D$129=Listor!$C$40</xm:f>
            <x14:dxf>
              <font>
                <color theme="2" tint="-0.499984740745262"/>
              </font>
              <fill>
                <patternFill>
                  <bgColor theme="2" tint="-9.9948118533890809E-2"/>
                </patternFill>
              </fill>
            </x14:dxf>
          </x14:cfRule>
          <xm:sqref>C131:G135</xm:sqref>
        </x14:conditionalFormatting>
        <x14:conditionalFormatting xmlns:xm="http://schemas.microsoft.com/office/excel/2006/main">
          <x14:cfRule type="expression" priority="18" id="{FE0E4100-9412-406E-9CBF-B4CAD43C679D}">
            <xm:f>$D$140=Listor!$C$40</xm:f>
            <x14:dxf>
              <font>
                <color theme="2" tint="-0.499984740745262"/>
              </font>
              <fill>
                <patternFill>
                  <bgColor theme="2" tint="-9.9948118533890809E-2"/>
                </patternFill>
              </fill>
            </x14:dxf>
          </x14:cfRule>
          <xm:sqref>C142:G146</xm:sqref>
        </x14:conditionalFormatting>
        <x14:conditionalFormatting xmlns:xm="http://schemas.microsoft.com/office/excel/2006/main">
          <x14:cfRule type="expression" priority="1" id="{4FF36ED5-F664-43B7-8943-473169A8EDA5}">
            <xm:f>$D$129=Listor!$C$40</xm:f>
            <x14:dxf>
              <font>
                <color theme="2" tint="-0.499984740745262"/>
              </font>
              <fill>
                <patternFill>
                  <bgColor theme="2" tint="-9.9948118533890809E-2"/>
                </patternFill>
              </fill>
            </x14:dxf>
          </x14:cfRule>
          <xm:sqref>C136:G136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64A1FBDF-0248-4BE5-9431-C0985DFABA94}">
          <x14:formula1>
            <xm:f>Listor!$C$12:$C$15</xm:f>
          </x14:formula1>
          <xm:sqref>D116</xm:sqref>
        </x14:dataValidation>
        <x14:dataValidation type="list" allowBlank="1" showInputMessage="1" showErrorMessage="1" xr:uid="{F683546E-C83B-4B73-B4AF-F5B2AF4B7624}">
          <x14:formula1>
            <xm:f>Listor!$C$18:$C$19</xm:f>
          </x14:formula1>
          <xm:sqref>D124</xm:sqref>
        </x14:dataValidation>
        <x14:dataValidation type="list" allowBlank="1" showInputMessage="1" showErrorMessage="1" xr:uid="{ABCD5DA0-6A1B-4BA7-B9E1-537B9EED6969}">
          <x14:formula1>
            <xm:f>Listor!$C$29:$C$30</xm:f>
          </x14:formula1>
          <xm:sqref>D144:D145</xm:sqref>
        </x14:dataValidation>
        <x14:dataValidation type="list" allowBlank="1" showInputMessage="1" showErrorMessage="1" xr:uid="{C8EA3713-51D4-47D7-A942-4154273D4B9C}">
          <x14:formula1>
            <xm:f>Listor!$D$23:$D$26</xm:f>
          </x14:formula1>
          <xm:sqref>D133</xm:sqref>
        </x14:dataValidation>
        <x14:dataValidation type="list" allowBlank="1" showInputMessage="1" showErrorMessage="1" xr:uid="{0C340423-DED0-4B9C-BF53-9171E62D4F4A}">
          <x14:formula1>
            <xm:f>Listor!$C$7:$C$8</xm:f>
          </x14:formula1>
          <xm:sqref>D108</xm:sqref>
        </x14:dataValidation>
        <x14:dataValidation type="list" allowBlank="1" showInputMessage="1" showErrorMessage="1" xr:uid="{D993AAD7-A2E9-4B97-85EE-B5CD13405373}">
          <x14:formula1>
            <xm:f>Listor!$C$36:$C$37</xm:f>
          </x14:formula1>
          <xm:sqref>D146</xm:sqref>
        </x14:dataValidation>
        <x14:dataValidation type="list" allowBlank="1" showInputMessage="1" showErrorMessage="1" xr:uid="{3808925C-D3DF-4AAE-B6F6-4F16EFCCA677}">
          <x14:formula1>
            <xm:f>Listor!$C$39:$C$40</xm:f>
          </x14:formula1>
          <xm:sqref>D102 D140 D129 D120 D110</xm:sqref>
        </x14:dataValidation>
        <x14:dataValidation type="list" allowBlank="1" showInputMessage="1" showErrorMessage="1" xr:uid="{1AC79934-D78F-4F97-8FBB-14831DB1474E}">
          <x14:formula1>
            <xm:f>Listor!$C$33:$C$34</xm:f>
          </x14:formula1>
          <xm:sqref>D135</xm:sqref>
        </x14:dataValidation>
        <x14:dataValidation type="list" allowBlank="1" showInputMessage="1" showErrorMessage="1" xr:uid="{E06CA42D-0761-492A-915B-13DE54C41A5A}">
          <x14:formula1>
            <xm:f>Listor!$C$45:$C$46</xm:f>
          </x14:formula1>
          <xm:sqref>D100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BEFCA-2243-4664-A95E-3F627034B3BD}">
  <dimension ref="B2:G33"/>
  <sheetViews>
    <sheetView topLeftCell="A17" zoomScale="120" zoomScaleNormal="120" workbookViewId="0">
      <selection activeCell="C32" sqref="A1:XFD1048576"/>
    </sheetView>
  </sheetViews>
  <sheetFormatPr defaultColWidth="9.140625" defaultRowHeight="15"/>
  <cols>
    <col min="1" max="1" width="3.5703125" style="63" customWidth="1"/>
    <col min="2" max="2" width="4.28515625" style="63" customWidth="1"/>
    <col min="3" max="3" width="26.7109375" style="63" customWidth="1"/>
    <col min="4" max="4" width="23.140625" style="63" customWidth="1"/>
    <col min="5" max="5" width="20.5703125" style="63" customWidth="1"/>
    <col min="6" max="6" width="41.5703125" style="63" customWidth="1"/>
    <col min="7" max="7" width="4.140625" style="63" customWidth="1"/>
    <col min="8" max="8" width="4" style="63" customWidth="1"/>
    <col min="9" max="9" width="46.5703125" style="63" bestFit="1" customWidth="1"/>
    <col min="10" max="16384" width="9.140625" style="63"/>
  </cols>
  <sheetData>
    <row r="2" spans="2:7" ht="13.9">
      <c r="B2" s="62"/>
      <c r="C2" s="62"/>
      <c r="D2" s="62"/>
      <c r="E2" s="62"/>
      <c r="F2" s="62"/>
      <c r="G2" s="62"/>
    </row>
    <row r="3" spans="2:7" ht="41.25" customHeight="1">
      <c r="B3" s="62"/>
      <c r="C3" s="64" t="s">
        <v>89</v>
      </c>
      <c r="D3" s="62"/>
      <c r="E3" s="62"/>
      <c r="F3" s="62"/>
      <c r="G3" s="62"/>
    </row>
    <row r="4" spans="2:7">
      <c r="B4" s="62"/>
      <c r="C4" s="62" t="s">
        <v>90</v>
      </c>
      <c r="D4" s="62"/>
      <c r="E4" s="62"/>
      <c r="F4" s="62"/>
      <c r="G4" s="62"/>
    </row>
    <row r="5" spans="2:7">
      <c r="B5" s="62"/>
      <c r="C5" s="62"/>
      <c r="D5" s="62"/>
      <c r="E5" s="62"/>
      <c r="F5" s="62"/>
      <c r="G5" s="62"/>
    </row>
    <row r="6" spans="2:7">
      <c r="B6" s="62"/>
      <c r="C6" s="81" t="s">
        <v>65</v>
      </c>
      <c r="D6" s="229" t="s">
        <v>91</v>
      </c>
      <c r="E6" s="230"/>
      <c r="F6" s="81" t="s">
        <v>92</v>
      </c>
      <c r="G6" s="62"/>
    </row>
    <row r="7" spans="2:7" ht="13.9">
      <c r="B7" s="62"/>
      <c r="C7" s="72" t="s">
        <v>9</v>
      </c>
      <c r="D7" s="219" t="s">
        <v>93</v>
      </c>
      <c r="E7" s="220"/>
      <c r="F7" s="91" t="s">
        <v>94</v>
      </c>
      <c r="G7" s="62"/>
    </row>
    <row r="8" spans="2:7" ht="28.5" customHeight="1">
      <c r="B8" s="62"/>
      <c r="C8" s="72" t="s">
        <v>10</v>
      </c>
      <c r="D8" s="219" t="s">
        <v>95</v>
      </c>
      <c r="E8" s="220"/>
      <c r="F8" s="91" t="s">
        <v>96</v>
      </c>
      <c r="G8" s="62"/>
    </row>
    <row r="9" spans="2:7" ht="13.9">
      <c r="B9" s="62"/>
      <c r="C9" s="62"/>
      <c r="D9" s="92"/>
      <c r="E9" s="92"/>
      <c r="F9" s="92"/>
      <c r="G9" s="62"/>
    </row>
    <row r="10" spans="2:7">
      <c r="B10" s="62"/>
      <c r="C10" s="81" t="s">
        <v>78</v>
      </c>
      <c r="D10" s="221" t="str">
        <f>D6</f>
        <v>Allmänna antagande</v>
      </c>
      <c r="E10" s="222"/>
      <c r="F10" s="93" t="str">
        <f>F6</f>
        <v>Antaganden för ursprunglig schablon</v>
      </c>
      <c r="G10" s="62"/>
    </row>
    <row r="11" spans="2:7">
      <c r="B11" s="62"/>
      <c r="C11" s="72" t="s">
        <v>97</v>
      </c>
      <c r="D11" s="219" t="s">
        <v>98</v>
      </c>
      <c r="E11" s="220"/>
      <c r="F11" s="91" t="s">
        <v>99</v>
      </c>
      <c r="G11" s="62"/>
    </row>
    <row r="12" spans="2:7" ht="30">
      <c r="B12" s="62"/>
      <c r="C12" s="72" t="s">
        <v>100</v>
      </c>
      <c r="D12" s="219" t="s">
        <v>98</v>
      </c>
      <c r="E12" s="220"/>
      <c r="F12" s="91" t="s">
        <v>101</v>
      </c>
      <c r="G12" s="62"/>
    </row>
    <row r="13" spans="2:7" ht="13.9">
      <c r="B13" s="62"/>
      <c r="C13" s="62"/>
      <c r="D13" s="92"/>
      <c r="E13" s="92"/>
      <c r="F13" s="92"/>
      <c r="G13" s="62"/>
    </row>
    <row r="14" spans="2:7">
      <c r="B14" s="62"/>
      <c r="C14" s="81" t="s">
        <v>12</v>
      </c>
      <c r="D14" s="221" t="str">
        <f>D6</f>
        <v>Allmänna antagande</v>
      </c>
      <c r="E14" s="222"/>
      <c r="F14" s="93" t="str">
        <f>F10</f>
        <v>Antaganden för ursprunglig schablon</v>
      </c>
      <c r="G14" s="62"/>
    </row>
    <row r="15" spans="2:7" ht="17.25" customHeight="1">
      <c r="B15" s="62"/>
      <c r="C15" s="72" t="s">
        <v>82</v>
      </c>
      <c r="D15" s="219" t="s">
        <v>102</v>
      </c>
      <c r="E15" s="220"/>
      <c r="F15" s="91" t="s">
        <v>103</v>
      </c>
      <c r="G15" s="62"/>
    </row>
    <row r="16" spans="2:7" ht="47.25" customHeight="1">
      <c r="B16" s="62"/>
      <c r="C16" s="90" t="s">
        <v>85</v>
      </c>
      <c r="D16" s="219" t="s">
        <v>104</v>
      </c>
      <c r="E16" s="220"/>
      <c r="F16" s="91"/>
      <c r="G16" s="62"/>
    </row>
    <row r="17" spans="2:7">
      <c r="B17" s="62"/>
      <c r="C17" s="62"/>
      <c r="D17" s="92"/>
      <c r="E17" s="92"/>
      <c r="F17" s="92"/>
      <c r="G17" s="62"/>
    </row>
    <row r="18" spans="2:7">
      <c r="B18" s="62"/>
      <c r="C18" s="81" t="s">
        <v>105</v>
      </c>
      <c r="D18" s="221" t="str">
        <f>D14</f>
        <v>Allmänna antagande</v>
      </c>
      <c r="E18" s="222"/>
      <c r="F18" s="93" t="str">
        <f>F10</f>
        <v>Antaganden för ursprunglig schablon</v>
      </c>
      <c r="G18" s="62"/>
    </row>
    <row r="19" spans="2:7" ht="14.45" customHeight="1">
      <c r="B19" s="62"/>
      <c r="C19" s="72" t="s">
        <v>106</v>
      </c>
      <c r="D19" s="223" t="s">
        <v>107</v>
      </c>
      <c r="E19" s="224"/>
      <c r="F19" s="231" t="s">
        <v>108</v>
      </c>
      <c r="G19" s="62"/>
    </row>
    <row r="20" spans="2:7">
      <c r="B20" s="62"/>
      <c r="C20" s="72" t="s">
        <v>109</v>
      </c>
      <c r="D20" s="225"/>
      <c r="E20" s="226"/>
      <c r="F20" s="232"/>
      <c r="G20" s="62"/>
    </row>
    <row r="21" spans="2:7">
      <c r="B21" s="62"/>
      <c r="C21" s="72" t="s">
        <v>110</v>
      </c>
      <c r="D21" s="227"/>
      <c r="E21" s="228"/>
      <c r="F21" s="233"/>
      <c r="G21" s="62"/>
    </row>
    <row r="22" spans="2:7">
      <c r="B22" s="62"/>
      <c r="C22" s="62"/>
      <c r="D22" s="94"/>
      <c r="E22" s="94"/>
      <c r="F22" s="94"/>
      <c r="G22" s="62"/>
    </row>
    <row r="23" spans="2:7">
      <c r="B23" s="62"/>
      <c r="C23" s="81" t="s">
        <v>14</v>
      </c>
      <c r="D23" s="221" t="str">
        <f>D18</f>
        <v>Allmänna antagande</v>
      </c>
      <c r="E23" s="222"/>
      <c r="F23" s="93" t="str">
        <f>F14</f>
        <v>Antaganden för ursprunglig schablon</v>
      </c>
      <c r="G23" s="62"/>
    </row>
    <row r="24" spans="2:7" ht="30" customHeight="1">
      <c r="B24" s="62"/>
      <c r="C24" s="95" t="s">
        <v>111</v>
      </c>
      <c r="D24" s="219" t="s">
        <v>112</v>
      </c>
      <c r="E24" s="220"/>
      <c r="F24" s="96" t="s">
        <v>113</v>
      </c>
      <c r="G24" s="62"/>
    </row>
    <row r="25" spans="2:7">
      <c r="B25" s="62"/>
      <c r="C25" s="95" t="s">
        <v>114</v>
      </c>
      <c r="D25" s="219" t="str">
        <f>D24</f>
        <v>Baserad på årlig energianvändning</v>
      </c>
      <c r="E25" s="220"/>
      <c r="F25" s="96"/>
      <c r="G25" s="62"/>
    </row>
    <row r="26" spans="2:7" ht="30" customHeight="1">
      <c r="B26" s="62"/>
      <c r="C26" s="95" t="s">
        <v>115</v>
      </c>
      <c r="D26" s="219" t="str">
        <f>D24</f>
        <v>Baserad på årlig energianvändning</v>
      </c>
      <c r="E26" s="220"/>
      <c r="F26" s="96" t="s">
        <v>116</v>
      </c>
      <c r="G26" s="62"/>
    </row>
    <row r="27" spans="2:7">
      <c r="B27" s="62"/>
      <c r="C27" s="95" t="s">
        <v>117</v>
      </c>
      <c r="D27" s="219" t="str">
        <f>D24</f>
        <v>Baserad på årlig energianvändning</v>
      </c>
      <c r="E27" s="220"/>
      <c r="F27" s="96"/>
      <c r="G27" s="62"/>
    </row>
    <row r="28" spans="2:7">
      <c r="B28" s="62"/>
      <c r="C28" s="62"/>
      <c r="D28" s="92"/>
      <c r="E28" s="92"/>
      <c r="F28" s="92"/>
      <c r="G28" s="62"/>
    </row>
    <row r="29" spans="2:7">
      <c r="B29" s="62"/>
      <c r="C29" s="81" t="s">
        <v>118</v>
      </c>
      <c r="D29" s="221" t="str">
        <f>D23</f>
        <v>Allmänna antagande</v>
      </c>
      <c r="E29" s="222"/>
      <c r="F29" s="93" t="str">
        <f>F18</f>
        <v>Antaganden för ursprunglig schablon</v>
      </c>
      <c r="G29" s="62"/>
    </row>
    <row r="30" spans="2:7">
      <c r="B30" s="62"/>
      <c r="C30" s="95" t="s">
        <v>119</v>
      </c>
      <c r="D30" s="219" t="str">
        <f>D24</f>
        <v>Baserad på årlig energianvändning</v>
      </c>
      <c r="E30" s="220"/>
      <c r="F30" s="96" t="s">
        <v>120</v>
      </c>
      <c r="G30" s="62"/>
    </row>
    <row r="31" spans="2:7">
      <c r="B31" s="62"/>
      <c r="C31" s="95" t="s">
        <v>121</v>
      </c>
      <c r="D31" s="219" t="str">
        <f>D24</f>
        <v>Baserad på årlig energianvändning</v>
      </c>
      <c r="E31" s="220"/>
      <c r="F31" s="96"/>
      <c r="G31" s="62"/>
    </row>
    <row r="32" spans="2:7" ht="30">
      <c r="B32" s="62"/>
      <c r="C32" s="97" t="s">
        <v>122</v>
      </c>
      <c r="D32" s="219" t="str">
        <f>D24</f>
        <v>Baserad på årlig energianvändning</v>
      </c>
      <c r="E32" s="220"/>
      <c r="F32" s="96"/>
      <c r="G32" s="62"/>
    </row>
    <row r="33" spans="2:7">
      <c r="B33" s="62"/>
      <c r="C33" s="62"/>
      <c r="D33" s="62"/>
      <c r="E33" s="62"/>
      <c r="F33" s="62"/>
      <c r="G33" s="62"/>
    </row>
  </sheetData>
  <sheetProtection algorithmName="SHA-512" hashValue="MbVgjh8yPGk4vPxILvdXje0VF5J3qke1QREoavV7WgdJcZdXAUwMS0XOxJWng9roC6knELRKGUZAx+Wtr/lAoA==" saltValue="xHdQwZsJweSHxFYWVHf10w==" spinCount="100000" sheet="1" objects="1" scenarios="1"/>
  <mergeCells count="21">
    <mergeCell ref="D6:E6"/>
    <mergeCell ref="D10:E10"/>
    <mergeCell ref="D31:E31"/>
    <mergeCell ref="F19:F21"/>
    <mergeCell ref="D7:E7"/>
    <mergeCell ref="D8:E8"/>
    <mergeCell ref="D11:E11"/>
    <mergeCell ref="D12:E12"/>
    <mergeCell ref="D32:E32"/>
    <mergeCell ref="D23:E23"/>
    <mergeCell ref="D29:E29"/>
    <mergeCell ref="D14:E14"/>
    <mergeCell ref="D18:E18"/>
    <mergeCell ref="D24:E24"/>
    <mergeCell ref="D25:E25"/>
    <mergeCell ref="D26:E26"/>
    <mergeCell ref="D27:E27"/>
    <mergeCell ref="D30:E30"/>
    <mergeCell ref="D15:E15"/>
    <mergeCell ref="D16:E16"/>
    <mergeCell ref="D19:E21"/>
  </mergeCells>
  <phoneticPr fontId="3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CBC9B-A961-458F-839C-4D9FAE1B59F0}">
  <sheetPr>
    <tabColor rgb="FFFF0000"/>
  </sheetPr>
  <dimension ref="A2:U100"/>
  <sheetViews>
    <sheetView zoomScale="55" zoomScaleNormal="55" workbookViewId="0">
      <selection activeCell="E18" sqref="E18"/>
    </sheetView>
  </sheetViews>
  <sheetFormatPr defaultColWidth="9.140625" defaultRowHeight="15"/>
  <cols>
    <col min="1" max="1" width="9.140625" style="1"/>
    <col min="2" max="2" width="25.5703125" style="1" bestFit="1" customWidth="1"/>
    <col min="3" max="3" width="28.140625" style="1" customWidth="1"/>
    <col min="4" max="4" width="31.140625" style="1" bestFit="1" customWidth="1"/>
    <col min="5" max="5" width="15.140625" style="1" bestFit="1" customWidth="1"/>
    <col min="6" max="6" width="5.85546875" style="1" customWidth="1"/>
    <col min="7" max="7" width="5.42578125" style="1" customWidth="1"/>
    <col min="8" max="8" width="9.140625" style="1"/>
    <col min="9" max="9" width="17.28515625" style="1" bestFit="1" customWidth="1"/>
    <col min="10" max="10" width="12.7109375" style="1" customWidth="1"/>
    <col min="11" max="11" width="8.28515625" style="1" customWidth="1"/>
    <col min="12" max="12" width="16.85546875" style="1" bestFit="1" customWidth="1"/>
    <col min="13" max="13" width="18.28515625" style="1" customWidth="1"/>
    <col min="14" max="14" width="18.5703125" style="1" customWidth="1"/>
    <col min="15" max="15" width="10.28515625" style="1" customWidth="1"/>
    <col min="16" max="16" width="9.140625" style="1"/>
    <col min="17" max="18" width="14.140625" style="1" bestFit="1" customWidth="1"/>
    <col min="19" max="19" width="44.140625" style="1" bestFit="1" customWidth="1"/>
    <col min="20" max="16384" width="9.140625" style="1"/>
  </cols>
  <sheetData>
    <row r="2" spans="1:20" ht="46.5">
      <c r="A2" s="47" t="s">
        <v>123</v>
      </c>
    </row>
    <row r="3" spans="1:20" ht="26.25">
      <c r="A3" s="48" t="s">
        <v>32</v>
      </c>
      <c r="I3" s="10"/>
      <c r="J3" s="56"/>
      <c r="K3" s="56"/>
      <c r="L3" s="56"/>
    </row>
    <row r="4" spans="1:20" ht="23.25">
      <c r="I4" s="10"/>
      <c r="J4" s="56"/>
      <c r="K4" s="56"/>
      <c r="L4" s="56"/>
    </row>
    <row r="5" spans="1:20" ht="23.25">
      <c r="A5" s="34" t="s">
        <v>19</v>
      </c>
      <c r="I5" s="10"/>
      <c r="J5" s="10"/>
    </row>
    <row r="6" spans="1:20">
      <c r="A6" s="29"/>
      <c r="B6" s="29"/>
      <c r="C6" s="43" t="s">
        <v>36</v>
      </c>
      <c r="D6" s="43" t="s">
        <v>37</v>
      </c>
      <c r="E6" s="43" t="s">
        <v>38</v>
      </c>
      <c r="J6" s="2" t="s">
        <v>124</v>
      </c>
    </row>
    <row r="7" spans="1:20">
      <c r="A7" s="29" t="s">
        <v>125</v>
      </c>
      <c r="B7" s="29"/>
      <c r="C7" s="147">
        <f>'Schablonberäkning A5.2-A5.5'!G16-'Schablonberäkning A5.2-A5.5'!N24</f>
        <v>2715.0424947916663</v>
      </c>
      <c r="D7" s="147">
        <f>C7/C24</f>
        <v>452.50708246527773</v>
      </c>
      <c r="E7" s="147">
        <f>C7/'Schablonberäkning A5.2-A5.5'!D18</f>
        <v>13.575212473958331</v>
      </c>
      <c r="F7" s="1" t="s">
        <v>126</v>
      </c>
      <c r="J7" s="1" t="s">
        <v>127</v>
      </c>
      <c r="K7" s="59">
        <f>C7-C10</f>
        <v>0</v>
      </c>
      <c r="P7" s="7"/>
      <c r="Q7" s="7"/>
      <c r="R7" s="7"/>
      <c r="S7" s="7"/>
    </row>
    <row r="8" spans="1:20">
      <c r="A8" s="29" t="s">
        <v>128</v>
      </c>
      <c r="B8" s="29"/>
      <c r="C8" s="147">
        <f>'Schablonberäkning A5.2-A5.5'!G16</f>
        <v>3565.5424947916663</v>
      </c>
      <c r="D8" s="147">
        <f>C8/C24</f>
        <v>594.25708246527768</v>
      </c>
      <c r="E8" s="147">
        <f>C8/'Schablonberäkning A5.2-A5.5'!D18</f>
        <v>17.827712473958332</v>
      </c>
      <c r="F8" s="1" t="s">
        <v>126</v>
      </c>
      <c r="J8" s="88"/>
      <c r="P8" s="7"/>
      <c r="Q8" s="7"/>
      <c r="R8" s="7"/>
      <c r="S8" s="7"/>
      <c r="T8" s="2"/>
    </row>
    <row r="9" spans="1:20">
      <c r="J9" s="88"/>
      <c r="P9" s="7"/>
      <c r="Q9" s="7"/>
      <c r="R9" s="7"/>
      <c r="S9" s="7"/>
      <c r="T9" s="2"/>
    </row>
    <row r="10" spans="1:20">
      <c r="A10" s="29" t="s">
        <v>129</v>
      </c>
      <c r="B10" s="29"/>
      <c r="C10" s="147">
        <f>(IF(D31=Listor!C39,P33,'Schablonberäkning A5.2-A5.5'!N23)+IF(D49=Listor!C39,P52,'Schablonberäkning A5.2-A5.5'!N27)+IF(D56=Listor!C39,P59,'Schablonberäkning A5.2-A5.5'!N31)+IF(AND(D56=Listor!C39,D62=Listor!C33),'Uträkningar Snurra'!P64,0)+IF(D69=Listor!C39,P72,'Schablonberäkning A5.2-A5.5'!N46)+P83+P89)</f>
        <v>2715.0424947916672</v>
      </c>
      <c r="D10" s="147">
        <f>C10/C24</f>
        <v>452.50708246527785</v>
      </c>
      <c r="E10" s="147">
        <f>C10/C22</f>
        <v>13.575212473958336</v>
      </c>
      <c r="N10" s="7"/>
      <c r="O10" s="7"/>
      <c r="P10" s="7"/>
      <c r="Q10" s="7"/>
      <c r="R10" s="7"/>
      <c r="S10" s="7"/>
    </row>
    <row r="11" spans="1:20">
      <c r="A11" s="1" t="s">
        <v>130</v>
      </c>
      <c r="C11" s="147">
        <f>(IF(D31=Listor!C39,P33,'Schablonberäkning A5.2-A5.5'!N23)+IF(D40=Listor!C39,P43,'Schablonberäkning A5.2-A5.5'!N24)+IF(D49=Listor!C39,P52,'Schablonberäkning A5.2-A5.5'!N27)+IF(D56=Listor!C39,P59,'Schablonberäkning A5.2-A5.5'!N31)+IF(AND(D56=Listor!C39,D62=Listor!C33),'Uträkningar Snurra'!P64,0)+IF(D69=Listor!C39,P72,'Schablonberäkning A5.2-A5.5'!N46)+P83+P89)</f>
        <v>3565.5424947916672</v>
      </c>
      <c r="D11" s="147">
        <f>C11/C24</f>
        <v>594.2570824652779</v>
      </c>
      <c r="E11" s="147">
        <f>C11/C22</f>
        <v>17.827712473958336</v>
      </c>
      <c r="N11" s="7"/>
      <c r="O11" s="7"/>
      <c r="P11" s="7"/>
      <c r="Q11" s="7"/>
      <c r="R11" s="7"/>
      <c r="S11" s="7"/>
    </row>
    <row r="12" spans="1:20">
      <c r="J12" s="7"/>
      <c r="K12" s="7"/>
      <c r="L12" s="7"/>
      <c r="N12" s="7"/>
      <c r="O12" s="7"/>
      <c r="P12" s="7"/>
      <c r="Q12" s="7"/>
      <c r="R12" s="7"/>
      <c r="S12" s="7"/>
    </row>
    <row r="14" spans="1:20" ht="21">
      <c r="A14" s="34" t="s">
        <v>52</v>
      </c>
      <c r="C14" s="29"/>
      <c r="D14" s="29"/>
      <c r="K14" s="1" t="s">
        <v>131</v>
      </c>
      <c r="M14" s="1" t="s">
        <v>132</v>
      </c>
      <c r="O14" s="1" t="s">
        <v>19</v>
      </c>
    </row>
    <row r="15" spans="1:20">
      <c r="C15" s="49" t="s">
        <v>54</v>
      </c>
      <c r="D15" s="29"/>
      <c r="I15" s="59" t="s">
        <v>9</v>
      </c>
      <c r="J15" s="1" t="str">
        <f>D31</f>
        <v>Använd schablon</v>
      </c>
      <c r="K15" s="98">
        <f>N32</f>
        <v>5760</v>
      </c>
      <c r="L15" s="1" t="s">
        <v>133</v>
      </c>
      <c r="M15" s="59">
        <f>'Schablonberäkning A5.2-A5.5'!L23*1.25</f>
        <v>7200</v>
      </c>
      <c r="N15" s="1" t="s">
        <v>133</v>
      </c>
      <c r="O15" s="98">
        <f>IF(D31=Listor!C39,K15,M15)</f>
        <v>7200</v>
      </c>
      <c r="P15" s="1" t="s">
        <v>133</v>
      </c>
    </row>
    <row r="16" spans="1:20">
      <c r="C16" s="60" t="str">
        <f>'Beräkningssnurra A5.2-A5.5 '!D85</f>
        <v>Förnamn Efternamn</v>
      </c>
      <c r="D16" s="29"/>
      <c r="E16" s="29"/>
      <c r="I16" s="1" t="s">
        <v>10</v>
      </c>
      <c r="J16" s="1" t="str">
        <f>D40</f>
        <v>Använd schablon</v>
      </c>
      <c r="K16" s="98">
        <f>N42</f>
        <v>9072</v>
      </c>
      <c r="L16" s="1" t="s">
        <v>133</v>
      </c>
      <c r="M16" s="59">
        <f>'Schablonberäkning A5.2-A5.5'!L24*1.25</f>
        <v>11340</v>
      </c>
      <c r="N16" s="1" t="s">
        <v>133</v>
      </c>
      <c r="O16" s="98">
        <f>IF(D40=Listor!C39,K16,M16)</f>
        <v>11340</v>
      </c>
      <c r="P16" s="1" t="s">
        <v>133</v>
      </c>
    </row>
    <row r="17" spans="1:19">
      <c r="C17" s="49" t="s">
        <v>56</v>
      </c>
      <c r="D17" s="29"/>
      <c r="E17" s="29"/>
      <c r="I17" s="59" t="s">
        <v>79</v>
      </c>
      <c r="J17" s="1" t="str">
        <f>D49</f>
        <v>Använd schablon</v>
      </c>
      <c r="K17" s="98">
        <f>N51</f>
        <v>4250</v>
      </c>
      <c r="L17" s="1" t="s">
        <v>134</v>
      </c>
      <c r="M17" s="59">
        <f>('Schablonberäkning A5.2-A5.5'!L27+'Schablonberäkning A5.2-A5.5'!L28)*1.25</f>
        <v>5312.5</v>
      </c>
      <c r="N17" s="1" t="s">
        <v>134</v>
      </c>
      <c r="O17" s="98">
        <f>IF(D49=Listor!C39,K17,M17)</f>
        <v>5312.5</v>
      </c>
      <c r="P17" s="1" t="s">
        <v>134</v>
      </c>
    </row>
    <row r="18" spans="1:19">
      <c r="C18" s="60" t="str">
        <f>'Beräkningssnurra A5.2-A5.5 '!D87</f>
        <v>Projekt X</v>
      </c>
      <c r="D18" s="29"/>
      <c r="E18" s="29"/>
      <c r="I18" s="1" t="s">
        <v>82</v>
      </c>
      <c r="J18" s="1" t="str">
        <f>D56</f>
        <v>Använd schablon</v>
      </c>
      <c r="K18" s="98">
        <f>N58</f>
        <v>32850</v>
      </c>
      <c r="L18" s="1" t="s">
        <v>134</v>
      </c>
      <c r="M18" s="59">
        <f>'Schablonberäkning A5.2-A5.5'!L31*1.25</f>
        <v>41062.5</v>
      </c>
      <c r="N18" s="1" t="s">
        <v>134</v>
      </c>
      <c r="O18" s="98">
        <f>IF(D56=Listor!C39,K18,M18)</f>
        <v>41062.5</v>
      </c>
      <c r="P18" s="1" t="s">
        <v>134</v>
      </c>
    </row>
    <row r="19" spans="1:19">
      <c r="C19" s="49" t="s">
        <v>58</v>
      </c>
      <c r="D19" s="29"/>
      <c r="E19" s="29"/>
      <c r="I19" s="1" t="s">
        <v>85</v>
      </c>
      <c r="J19" s="1" t="str">
        <f>D62</f>
        <v>Nej</v>
      </c>
      <c r="K19" s="98">
        <f>N63</f>
        <v>0</v>
      </c>
      <c r="L19" s="1" t="s">
        <v>134</v>
      </c>
      <c r="M19" s="59">
        <f>'Schablonberäkning A5.2-A5.5'!L32*1.25</f>
        <v>0</v>
      </c>
      <c r="N19" s="1" t="s">
        <v>134</v>
      </c>
      <c r="O19" s="1">
        <f>IF(AND(D56=Listor!C39,D62=Listor!C33),'Uträkningar Snurra'!K19,'Uträkningar Snurra'!M19)</f>
        <v>0</v>
      </c>
      <c r="P19" s="1" t="s">
        <v>134</v>
      </c>
    </row>
    <row r="20" spans="1:19">
      <c r="C20" s="60" t="str">
        <f>'Beräkningssnurra A5.2-A5.5 '!D89</f>
        <v>20XX</v>
      </c>
      <c r="D20" s="29"/>
      <c r="E20" s="29"/>
      <c r="I20" s="1" t="s">
        <v>13</v>
      </c>
      <c r="J20" s="1" t="str">
        <f>D69</f>
        <v>Använd schablon</v>
      </c>
      <c r="K20" s="98">
        <f>N71</f>
        <v>6686.8</v>
      </c>
      <c r="L20" s="1" t="s">
        <v>134</v>
      </c>
      <c r="M20" s="59">
        <f>('Schablonberäkning A5.2-A5.5'!L46+'Schablonberäkning A5.2-A5.5'!L47+'Schablonberäkning A5.2-A5.5'!L48)*1.25</f>
        <v>8358.5</v>
      </c>
      <c r="N20" s="1" t="s">
        <v>134</v>
      </c>
      <c r="O20" s="98">
        <f>IF(D69=Listor!C39,K20,M20)</f>
        <v>8358.5</v>
      </c>
      <c r="P20" s="1" t="s">
        <v>134</v>
      </c>
    </row>
    <row r="21" spans="1:19">
      <c r="C21" s="49" t="s">
        <v>60</v>
      </c>
      <c r="D21" s="29"/>
      <c r="E21" s="29"/>
      <c r="I21" s="1" t="s">
        <v>105</v>
      </c>
      <c r="J21" s="1" t="s">
        <v>135</v>
      </c>
      <c r="M21" s="59">
        <f>SUM('Schablonberäkning A5.2-A5.5'!L35:L37)*1.25</f>
        <v>2654.166666666667</v>
      </c>
      <c r="N21" s="1" t="s">
        <v>134</v>
      </c>
      <c r="O21" s="98">
        <f>M21</f>
        <v>2654.166666666667</v>
      </c>
      <c r="P21" s="1" t="s">
        <v>134</v>
      </c>
    </row>
    <row r="22" spans="1:19">
      <c r="C22" s="60">
        <f>'Beräkningssnurra A5.2-A5.5 '!D91</f>
        <v>200</v>
      </c>
      <c r="D22" s="29" t="s">
        <v>136</v>
      </c>
      <c r="I22" s="1" t="s">
        <v>14</v>
      </c>
      <c r="J22" s="1" t="s">
        <v>135</v>
      </c>
      <c r="M22" s="59">
        <f>SUM('Schablonberäkning A5.2-A5.5'!L40:L43)*1.25</f>
        <v>1397.265625</v>
      </c>
      <c r="N22" s="1" t="s">
        <v>134</v>
      </c>
      <c r="O22" s="98">
        <f>M22</f>
        <v>1397.265625</v>
      </c>
      <c r="P22" s="1" t="s">
        <v>134</v>
      </c>
    </row>
    <row r="23" spans="1:19">
      <c r="C23" s="49" t="s">
        <v>62</v>
      </c>
      <c r="D23" s="29"/>
    </row>
    <row r="24" spans="1:19">
      <c r="C24" s="60">
        <f>'Beräkningssnurra A5.2-A5.5 '!D93</f>
        <v>6</v>
      </c>
      <c r="D24" s="29" t="s">
        <v>137</v>
      </c>
    </row>
    <row r="25" spans="1:19">
      <c r="E25" s="29"/>
      <c r="M25" s="1" t="s">
        <v>138</v>
      </c>
    </row>
    <row r="26" spans="1:19">
      <c r="M26" s="1" t="str">
        <f>Listor!C44</f>
        <v>Elektricitet, svensk elmix</v>
      </c>
      <c r="O26" s="98">
        <f>SUM(O17:O22)</f>
        <v>58784.932291666664</v>
      </c>
      <c r="P26" s="1" t="s">
        <v>139</v>
      </c>
    </row>
    <row r="27" spans="1:19" ht="28.5">
      <c r="A27" s="46" t="s">
        <v>64</v>
      </c>
      <c r="M27" s="1" t="str">
        <f>Listor!C45</f>
        <v>Diesel, HVO100</v>
      </c>
      <c r="O27" s="1">
        <f>IF('Beräkningssnurra A5.2-A5.5 '!D100=Listor!C45,(O15+O16),0)</f>
        <v>0</v>
      </c>
      <c r="P27" s="1" t="s">
        <v>133</v>
      </c>
    </row>
    <row r="28" spans="1:19" ht="28.5">
      <c r="A28" s="46"/>
      <c r="M28" s="1" t="str">
        <f>Listor!C46</f>
        <v>Diesel, reduktionsplikt (2020)</v>
      </c>
      <c r="O28" s="1">
        <f>IF('Beräkningssnurra A5.2-A5.5 '!D100=Listor!C46,(O15+O16),0)</f>
        <v>18540</v>
      </c>
      <c r="P28" s="1" t="s">
        <v>133</v>
      </c>
    </row>
    <row r="29" spans="1:19" ht="21">
      <c r="A29" s="34" t="s">
        <v>65</v>
      </c>
      <c r="J29" s="38"/>
      <c r="K29" s="38"/>
    </row>
    <row r="30" spans="1:19">
      <c r="J30" s="29"/>
      <c r="K30" s="29"/>
      <c r="L30" s="33"/>
      <c r="M30" s="33"/>
      <c r="N30" s="33"/>
      <c r="O30" s="33"/>
      <c r="P30" s="33"/>
      <c r="Q30" s="33"/>
      <c r="R30" s="33"/>
      <c r="S30" s="36"/>
    </row>
    <row r="31" spans="1:19">
      <c r="C31" s="53" t="s">
        <v>9</v>
      </c>
      <c r="D31" s="60" t="str">
        <f>'Beräkningssnurra A5.2-A5.5 '!D102</f>
        <v>Använd schablon</v>
      </c>
      <c r="E31" s="53"/>
      <c r="J31" s="38"/>
      <c r="K31" s="38"/>
      <c r="L31" s="37" t="s">
        <v>140</v>
      </c>
      <c r="M31" s="21" t="s">
        <v>141</v>
      </c>
      <c r="N31" s="14" t="s">
        <v>142</v>
      </c>
      <c r="O31" s="14"/>
      <c r="P31" s="13" t="s">
        <v>36</v>
      </c>
      <c r="Q31" s="13" t="s">
        <v>143</v>
      </c>
      <c r="R31" s="13" t="s">
        <v>143</v>
      </c>
      <c r="S31" s="13" t="s">
        <v>144</v>
      </c>
    </row>
    <row r="32" spans="1:19">
      <c r="F32" s="29"/>
      <c r="G32" s="29"/>
      <c r="J32" s="38"/>
      <c r="K32" s="38"/>
      <c r="L32" s="17">
        <f>D35*8</f>
        <v>16</v>
      </c>
      <c r="M32" s="17">
        <f>'Schablonberäkning A5.2-A5.5'!K23</f>
        <v>0.4</v>
      </c>
      <c r="N32" s="18">
        <f>D33*L32*M32*IF(D37=Listor!C7,Listor!D7,Listor!D8)</f>
        <v>5760</v>
      </c>
      <c r="O32" s="17" t="s">
        <v>133</v>
      </c>
      <c r="P32" s="19">
        <f>IF('Beräkningssnurra A5.2-A5.5 '!D100=Listor!C46,N32*D93,'Uträkningar Snurra'!N32*'Uträkningar Snurra'!D94)</f>
        <v>432</v>
      </c>
      <c r="Q32" s="11">
        <f>P32/'Beräkningssnurra A5.2-A5.5 '!$D$19</f>
        <v>0.15911353167720807</v>
      </c>
      <c r="R32" s="11">
        <f>P32/'Beräkningssnurra A5.2-A5.5 '!$D$49</f>
        <v>0.12115968345098675</v>
      </c>
      <c r="S32" s="16" t="s">
        <v>145</v>
      </c>
    </row>
    <row r="33" spans="3:19">
      <c r="C33" s="50" t="s">
        <v>70</v>
      </c>
      <c r="D33" s="60">
        <f>'Beräkningssnurra A5.2-A5.5 '!D104</f>
        <v>1</v>
      </c>
      <c r="E33" s="29" t="s">
        <v>71</v>
      </c>
      <c r="F33" s="29"/>
      <c r="G33" s="29"/>
      <c r="J33" s="38"/>
      <c r="K33" s="38"/>
      <c r="L33" s="30"/>
      <c r="M33" s="30"/>
      <c r="N33" s="31"/>
      <c r="O33" s="32" t="s">
        <v>146</v>
      </c>
      <c r="P33" s="32">
        <f>SUM(P32)</f>
        <v>432</v>
      </c>
      <c r="Q33" s="32"/>
      <c r="R33" s="58"/>
      <c r="S33" s="32"/>
    </row>
    <row r="34" spans="3:19">
      <c r="C34" s="50"/>
      <c r="D34" s="29"/>
      <c r="E34" s="29"/>
      <c r="F34" s="29"/>
      <c r="G34" s="29"/>
      <c r="J34" s="38"/>
      <c r="K34" s="38"/>
      <c r="L34" s="29"/>
      <c r="M34" s="29"/>
      <c r="N34" s="29"/>
      <c r="O34" s="83" t="s">
        <v>147</v>
      </c>
      <c r="P34" s="84">
        <f>N32*D93</f>
        <v>432</v>
      </c>
      <c r="Q34" s="84"/>
      <c r="R34" s="29"/>
      <c r="S34" s="29"/>
    </row>
    <row r="35" spans="3:19">
      <c r="C35" s="50" t="s">
        <v>72</v>
      </c>
      <c r="D35" s="60">
        <f>'Beräkningssnurra A5.2-A5.5 '!D106</f>
        <v>2</v>
      </c>
      <c r="E35" s="29" t="s">
        <v>73</v>
      </c>
      <c r="F35" s="29"/>
      <c r="G35" s="29"/>
      <c r="J35" s="38"/>
      <c r="K35" s="38"/>
      <c r="L35" s="29"/>
      <c r="M35" s="29"/>
      <c r="O35" s="83" t="s">
        <v>148</v>
      </c>
      <c r="P35" s="84">
        <f>N32*D94</f>
        <v>76.031999999999996</v>
      </c>
      <c r="Q35" s="84"/>
      <c r="R35" s="29"/>
      <c r="S35" s="29"/>
    </row>
    <row r="36" spans="3:19">
      <c r="C36" s="50"/>
      <c r="D36" s="50"/>
      <c r="E36" s="29"/>
      <c r="F36" s="30"/>
      <c r="G36" s="30"/>
      <c r="J36" s="38"/>
      <c r="K36" s="38"/>
      <c r="L36" s="29"/>
      <c r="M36" s="29"/>
      <c r="N36" s="29"/>
      <c r="O36" s="29"/>
      <c r="P36" s="29"/>
      <c r="Q36" s="29"/>
      <c r="R36" s="29"/>
      <c r="S36" s="29"/>
    </row>
    <row r="37" spans="3:19">
      <c r="C37" s="51" t="s">
        <v>74</v>
      </c>
      <c r="D37" s="61" t="str">
        <f>'Beräkningssnurra A5.2-A5.5 '!D108</f>
        <v>Stor (900 MJ/h)</v>
      </c>
      <c r="E37" s="30" t="s">
        <v>68</v>
      </c>
      <c r="F37" s="29"/>
      <c r="J37" s="29"/>
      <c r="K37" s="29"/>
      <c r="L37" s="29"/>
      <c r="M37" s="29"/>
      <c r="N37" s="29"/>
      <c r="O37" s="29"/>
      <c r="P37" s="29"/>
      <c r="Q37" s="29"/>
      <c r="R37" s="29"/>
      <c r="S37" s="29"/>
    </row>
    <row r="40" spans="3:19">
      <c r="C40" s="53" t="s">
        <v>10</v>
      </c>
      <c r="D40" s="60" t="str">
        <f>'Beräkningssnurra A5.2-A5.5 '!D110</f>
        <v>Använd schablon</v>
      </c>
    </row>
    <row r="41" spans="3:19">
      <c r="E41" s="53"/>
      <c r="F41" s="29"/>
      <c r="H41" s="29"/>
      <c r="I41" s="29"/>
      <c r="J41" s="29"/>
      <c r="K41" s="29"/>
      <c r="L41" s="37" t="s">
        <v>140</v>
      </c>
      <c r="M41" s="21" t="str">
        <f>M31</f>
        <v>Nyttjandegrad (h/h)</v>
      </c>
      <c r="N41" s="14" t="s">
        <v>142</v>
      </c>
      <c r="O41" s="14"/>
      <c r="P41" s="13" t="s">
        <v>36</v>
      </c>
      <c r="Q41" s="13" t="s">
        <v>143</v>
      </c>
      <c r="R41" s="13" t="s">
        <v>143</v>
      </c>
      <c r="S41" s="13" t="s">
        <v>144</v>
      </c>
    </row>
    <row r="42" spans="3:19">
      <c r="C42" s="29" t="s">
        <v>70</v>
      </c>
      <c r="D42" s="60">
        <f>'Beräkningssnurra A5.2-A5.5 '!D112</f>
        <v>1</v>
      </c>
      <c r="E42" s="29" t="s">
        <v>71</v>
      </c>
      <c r="F42" s="29"/>
      <c r="G42" s="29"/>
      <c r="H42" s="29"/>
      <c r="I42" s="29"/>
      <c r="J42" s="29"/>
      <c r="K42" s="29"/>
      <c r="L42" s="17">
        <f>D44*5*8</f>
        <v>40</v>
      </c>
      <c r="M42" s="17">
        <f>'Schablonberäkning A5.2-A5.5'!K24</f>
        <v>0.7</v>
      </c>
      <c r="N42" s="18">
        <f>D42*L42*M42*IF(D46=Listor!C12,Listor!D12,IF(D46=Listor!C13,Listor!D13,IF(D46=Listor!C14,Listor!D14,Listor!D15)))</f>
        <v>9072</v>
      </c>
      <c r="O42" s="17" t="s">
        <v>133</v>
      </c>
      <c r="P42" s="19">
        <f>IF('Beräkningssnurra A5.2-A5.5 '!D100=Listor!C46,N42*D93,'Uträkningar Snurra'!N42*'Uträkningar Snurra'!D94)</f>
        <v>680.4</v>
      </c>
      <c r="Q42" s="11"/>
      <c r="R42" s="11">
        <f>P42/'Beräkningssnurra A5.2-A5.5 '!$D$49</f>
        <v>0.19082650143530414</v>
      </c>
      <c r="S42" s="16" t="s">
        <v>149</v>
      </c>
    </row>
    <row r="43" spans="3:19">
      <c r="C43" s="29"/>
      <c r="D43" s="29"/>
      <c r="E43" s="29"/>
      <c r="F43" s="29"/>
      <c r="G43" s="29"/>
      <c r="H43" s="29"/>
      <c r="I43" s="29"/>
      <c r="J43" s="29"/>
      <c r="K43" s="29"/>
      <c r="L43" s="30"/>
      <c r="M43" s="30"/>
      <c r="N43" s="31"/>
      <c r="O43" s="32" t="s">
        <v>146</v>
      </c>
      <c r="P43" s="32">
        <f>SUM(P42)</f>
        <v>680.4</v>
      </c>
      <c r="Q43" s="32"/>
      <c r="R43" s="58"/>
      <c r="S43" s="32"/>
    </row>
    <row r="44" spans="3:19">
      <c r="C44" s="29" t="s">
        <v>72</v>
      </c>
      <c r="D44" s="60">
        <f>'Beräkningssnurra A5.2-A5.5 '!D114</f>
        <v>1</v>
      </c>
      <c r="E44" s="29" t="s">
        <v>76</v>
      </c>
      <c r="F44" s="29"/>
      <c r="G44" s="29"/>
      <c r="H44" s="29"/>
      <c r="I44" s="29"/>
      <c r="J44" s="29"/>
      <c r="K44" s="29"/>
      <c r="L44" s="29"/>
      <c r="M44" s="29"/>
      <c r="O44" s="83" t="s">
        <v>150</v>
      </c>
      <c r="P44" s="84">
        <f>N42*D93</f>
        <v>680.4</v>
      </c>
      <c r="Q44" s="84"/>
      <c r="R44" s="29"/>
      <c r="S44" s="29"/>
    </row>
    <row r="45" spans="3:19">
      <c r="C45" s="29"/>
      <c r="D45" s="29"/>
      <c r="E45" s="29"/>
      <c r="F45" s="29"/>
      <c r="G45" s="29"/>
      <c r="H45" s="29"/>
      <c r="I45" s="29"/>
      <c r="J45" s="29"/>
      <c r="K45" s="29"/>
      <c r="L45" s="29"/>
      <c r="M45" s="29"/>
      <c r="N45" s="29"/>
      <c r="O45" s="85" t="s">
        <v>148</v>
      </c>
      <c r="P45" s="84">
        <f>N42*D94</f>
        <v>119.7504</v>
      </c>
      <c r="Q45" s="84"/>
      <c r="R45" s="29"/>
      <c r="S45" s="29"/>
    </row>
    <row r="46" spans="3:19">
      <c r="C46" s="51" t="s">
        <v>74</v>
      </c>
      <c r="D46" s="60" t="str">
        <f>'Beräkningssnurra A5.2-A5.5 '!D116</f>
        <v>Grävlastare (324 MJ/h) (traktorgrävare)</v>
      </c>
      <c r="E46" s="30" t="s">
        <v>68</v>
      </c>
      <c r="F46" s="30"/>
      <c r="G46" s="30"/>
      <c r="H46" s="29"/>
      <c r="I46" s="29"/>
      <c r="J46" s="29"/>
      <c r="K46" s="29"/>
      <c r="L46" s="29"/>
      <c r="M46" s="29"/>
      <c r="N46" s="29"/>
      <c r="O46" s="29"/>
      <c r="P46" s="29"/>
      <c r="Q46" s="29"/>
      <c r="R46" s="29"/>
      <c r="S46" s="29"/>
    </row>
    <row r="47" spans="3:19">
      <c r="C47" s="51"/>
      <c r="D47" s="51"/>
      <c r="E47" s="30"/>
      <c r="F47" s="30"/>
      <c r="G47" s="30"/>
      <c r="H47" s="29"/>
      <c r="I47" s="29"/>
      <c r="J47" s="29"/>
      <c r="K47" s="29"/>
      <c r="L47" s="29"/>
      <c r="M47" s="29"/>
      <c r="N47" s="29"/>
      <c r="O47" s="29"/>
      <c r="P47" s="29"/>
      <c r="Q47" s="29"/>
      <c r="R47" s="29"/>
      <c r="S47" s="29"/>
    </row>
    <row r="48" spans="3:19">
      <c r="C48" s="51"/>
      <c r="D48" s="51"/>
      <c r="E48" s="51"/>
      <c r="F48" s="30"/>
      <c r="G48" s="30"/>
      <c r="H48" s="29"/>
      <c r="I48" s="29"/>
      <c r="J48" s="29"/>
      <c r="K48" s="29"/>
      <c r="L48" s="29"/>
      <c r="M48" s="29"/>
      <c r="N48" s="29"/>
      <c r="O48" s="29"/>
      <c r="P48" s="29"/>
      <c r="Q48" s="29"/>
      <c r="R48" s="29"/>
      <c r="S48" s="29"/>
    </row>
    <row r="49" spans="1:19" ht="21">
      <c r="A49" s="34" t="s">
        <v>78</v>
      </c>
      <c r="C49" s="53" t="s">
        <v>79</v>
      </c>
      <c r="D49" s="60" t="str">
        <f>'Beräkningssnurra A5.2-A5.5 '!D120</f>
        <v>Använd schablon</v>
      </c>
      <c r="E49" s="53"/>
      <c r="F49" s="29"/>
    </row>
    <row r="50" spans="1:19">
      <c r="D50" s="53"/>
      <c r="E50" s="53"/>
      <c r="F50" s="29"/>
      <c r="H50" s="26" t="s">
        <v>72</v>
      </c>
      <c r="I50" s="27"/>
      <c r="J50" s="41" t="s">
        <v>151</v>
      </c>
      <c r="K50" s="42"/>
      <c r="L50" s="27" t="s">
        <v>140</v>
      </c>
      <c r="M50" s="21" t="str">
        <f>M41</f>
        <v>Nyttjandegrad (h/h)</v>
      </c>
      <c r="N50" s="26" t="s">
        <v>142</v>
      </c>
      <c r="O50" s="27"/>
      <c r="P50" s="22" t="s">
        <v>36</v>
      </c>
      <c r="Q50" s="13" t="s">
        <v>143</v>
      </c>
      <c r="R50" s="13" t="s">
        <v>143</v>
      </c>
      <c r="S50" s="13" t="s">
        <v>144</v>
      </c>
    </row>
    <row r="51" spans="1:19">
      <c r="C51" s="50" t="s">
        <v>70</v>
      </c>
      <c r="D51" s="60">
        <f>'Beräkningssnurra A5.2-A5.5 '!D122</f>
        <v>1</v>
      </c>
      <c r="E51" s="29" t="s">
        <v>71</v>
      </c>
      <c r="F51" s="29"/>
      <c r="H51" s="3">
        <f>C24</f>
        <v>6</v>
      </c>
      <c r="I51" s="3" t="s">
        <v>63</v>
      </c>
      <c r="J51" s="17">
        <f>VLOOKUP(D53,Listor!C18:D19,2,FALSE)</f>
        <v>8500</v>
      </c>
      <c r="K51" s="17" t="s">
        <v>152</v>
      </c>
      <c r="L51" s="17"/>
      <c r="M51" s="17">
        <f>'Schablonberäkning A5.2-A5.5'!K27</f>
        <v>1</v>
      </c>
      <c r="N51" s="18">
        <f>D51*H51*J51/12*M51</f>
        <v>4250</v>
      </c>
      <c r="O51" s="17" t="s">
        <v>139</v>
      </c>
      <c r="P51" s="19">
        <f>N51*$D$92</f>
        <v>157.25</v>
      </c>
      <c r="Q51" s="11">
        <f>P51/'Beräkningssnurra A5.2-A5.5 '!$D$19</f>
        <v>5.791806216722447E-2</v>
      </c>
      <c r="R51" s="11">
        <f>P51/'Beräkningssnurra A5.2-A5.5 '!$D$49</f>
        <v>4.41026857006196E-2</v>
      </c>
      <c r="S51" s="16" t="s">
        <v>153</v>
      </c>
    </row>
    <row r="52" spans="1:19">
      <c r="C52" s="50"/>
      <c r="D52" s="29"/>
      <c r="E52" s="29"/>
      <c r="F52" s="29"/>
      <c r="H52" s="29"/>
      <c r="I52" s="29"/>
      <c r="J52" s="30"/>
      <c r="K52" s="30"/>
      <c r="L52" s="30"/>
      <c r="M52" s="30"/>
      <c r="N52" s="31"/>
      <c r="O52" s="32" t="s">
        <v>146</v>
      </c>
      <c r="P52" s="32">
        <f>SUM(P51)</f>
        <v>157.25</v>
      </c>
      <c r="Q52" s="32"/>
      <c r="R52" s="58"/>
      <c r="S52" s="32"/>
    </row>
    <row r="53" spans="1:19">
      <c r="C53" s="50" t="s">
        <v>80</v>
      </c>
      <c r="D53" s="60" t="str">
        <f>'Beräkningssnurra A5.2-A5.5 '!D124</f>
        <v>Normal</v>
      </c>
      <c r="E53" s="29" t="s">
        <v>68</v>
      </c>
      <c r="F53" s="29"/>
    </row>
    <row r="54" spans="1:19">
      <c r="C54" s="29"/>
      <c r="D54" s="29"/>
      <c r="E54" s="29"/>
      <c r="F54" s="29"/>
    </row>
    <row r="55" spans="1:19">
      <c r="C55" s="29"/>
      <c r="D55" s="29"/>
      <c r="E55" s="29"/>
      <c r="F55" s="29"/>
    </row>
    <row r="56" spans="1:19" ht="21">
      <c r="A56" s="34" t="s">
        <v>12</v>
      </c>
      <c r="B56" s="53"/>
      <c r="C56" s="49" t="s">
        <v>82</v>
      </c>
      <c r="D56" s="60" t="str">
        <f>'Beräkningssnurra A5.2-A5.5 '!D129</f>
        <v>Använd schablon</v>
      </c>
      <c r="F56" s="29"/>
    </row>
    <row r="57" spans="1:19">
      <c r="D57" s="29"/>
      <c r="E57" s="29"/>
      <c r="F57" s="29"/>
      <c r="H57" s="24" t="s">
        <v>72</v>
      </c>
      <c r="I57" s="25"/>
      <c r="L57" s="44" t="s">
        <v>140</v>
      </c>
      <c r="M57" s="21" t="str">
        <f>M50</f>
        <v>Nyttjandegrad (h/h)</v>
      </c>
      <c r="N57" s="26" t="s">
        <v>142</v>
      </c>
      <c r="O57" s="27"/>
      <c r="P57" s="22" t="s">
        <v>36</v>
      </c>
      <c r="Q57" s="13" t="s">
        <v>143</v>
      </c>
      <c r="R57" s="13" t="s">
        <v>143</v>
      </c>
      <c r="S57" s="13" t="s">
        <v>144</v>
      </c>
    </row>
    <row r="58" spans="1:19">
      <c r="C58" s="29" t="s">
        <v>83</v>
      </c>
      <c r="D58" s="60">
        <f>'Beräkningssnurra A5.2-A5.5 '!D131</f>
        <v>1</v>
      </c>
      <c r="E58" s="29" t="s">
        <v>71</v>
      </c>
      <c r="F58" s="29"/>
      <c r="H58" s="15">
        <f>IF(F63&gt;0,1,C24-1)</f>
        <v>5</v>
      </c>
      <c r="I58" s="3" t="s">
        <v>63</v>
      </c>
      <c r="L58" s="17">
        <f>H58*(365/12)*24</f>
        <v>3650</v>
      </c>
      <c r="M58" s="17">
        <f>'Schablonberäkning A5.2-A5.5'!K31</f>
        <v>1</v>
      </c>
      <c r="N58" s="18">
        <f>D58*L58*D60*M58</f>
        <v>32850</v>
      </c>
      <c r="O58" s="17" t="s">
        <v>139</v>
      </c>
      <c r="P58" s="19">
        <f>N58*$D$92</f>
        <v>1215.45</v>
      </c>
      <c r="Q58" s="11">
        <f>P58/'Beräkningssnurra A5.2-A5.5 '!$D$19</f>
        <v>0.44767255110431153</v>
      </c>
      <c r="R58" s="11">
        <f>P58/'Beräkningssnurra A5.2-A5.5 '!$D$49</f>
        <v>0.34088781770949506</v>
      </c>
      <c r="S58" s="16" t="s">
        <v>154</v>
      </c>
    </row>
    <row r="59" spans="1:19">
      <c r="C59" s="29"/>
      <c r="D59" s="29"/>
      <c r="E59" s="29"/>
      <c r="F59" s="29"/>
      <c r="O59" s="32" t="s">
        <v>146</v>
      </c>
      <c r="P59" s="32">
        <f>SUM(P58)</f>
        <v>1215.45</v>
      </c>
      <c r="Q59" s="32"/>
      <c r="R59" s="58"/>
    </row>
    <row r="60" spans="1:19">
      <c r="C60" s="29" t="s">
        <v>84</v>
      </c>
      <c r="D60" s="60">
        <f>'Beräkningssnurra A5.2-A5.5 '!D133</f>
        <v>9</v>
      </c>
      <c r="E60" s="29" t="s">
        <v>155</v>
      </c>
      <c r="F60" s="29"/>
    </row>
    <row r="61" spans="1:19">
      <c r="C61" s="29"/>
      <c r="D61" s="29"/>
      <c r="E61" s="29"/>
      <c r="F61" s="29"/>
    </row>
    <row r="62" spans="1:19">
      <c r="C62" s="49" t="s">
        <v>85</v>
      </c>
      <c r="D62" s="60" t="str">
        <f>'Beräkningssnurra A5.2-A5.5 '!D135</f>
        <v>Nej</v>
      </c>
      <c r="E62" s="29"/>
      <c r="F62" s="3" t="s">
        <v>83</v>
      </c>
      <c r="G62" s="3"/>
      <c r="H62" s="24" t="s">
        <v>72</v>
      </c>
      <c r="I62" s="25"/>
      <c r="J62" s="41" t="s">
        <v>151</v>
      </c>
      <c r="K62" s="42"/>
      <c r="L62" s="44" t="s">
        <v>140</v>
      </c>
      <c r="M62" s="21" t="str">
        <f>M57</f>
        <v>Nyttjandegrad (h/h)</v>
      </c>
      <c r="N62" s="26" t="s">
        <v>142</v>
      </c>
      <c r="O62" s="27"/>
      <c r="P62" s="22" t="s">
        <v>36</v>
      </c>
      <c r="Q62" s="13" t="s">
        <v>143</v>
      </c>
      <c r="R62" s="13" t="s">
        <v>143</v>
      </c>
      <c r="S62" s="13" t="s">
        <v>144</v>
      </c>
    </row>
    <row r="63" spans="1:19">
      <c r="F63" s="3">
        <f>IF(D62=Listor!C33,1,0)</f>
        <v>0</v>
      </c>
      <c r="G63" s="3" t="s">
        <v>71</v>
      </c>
      <c r="H63" s="3">
        <f>IF(AND(F63&gt;0,D58&gt;0),C24-2,0)</f>
        <v>0</v>
      </c>
      <c r="I63" s="3" t="s">
        <v>63</v>
      </c>
      <c r="J63" s="3">
        <v>5</v>
      </c>
      <c r="K63" s="3" t="s">
        <v>155</v>
      </c>
      <c r="L63" s="17">
        <f>H63*(365/12)*24</f>
        <v>0</v>
      </c>
      <c r="M63" s="17">
        <f>'Schablonberäkning A5.2-A5.5'!K32</f>
        <v>1</v>
      </c>
      <c r="N63" s="18">
        <f>F63*L63*J63</f>
        <v>0</v>
      </c>
      <c r="O63" s="17" t="s">
        <v>139</v>
      </c>
      <c r="P63" s="19">
        <f>N63*$D$92</f>
        <v>0</v>
      </c>
      <c r="Q63" s="11">
        <f>P63/'Beräkningssnurra A5.2-A5.5 '!$D$19</f>
        <v>0</v>
      </c>
      <c r="R63" s="11">
        <f>P63/'Beräkningssnurra A5.2-A5.5 '!$D$49</f>
        <v>0</v>
      </c>
      <c r="S63" s="16" t="s">
        <v>154</v>
      </c>
    </row>
    <row r="64" spans="1:19">
      <c r="C64" s="29"/>
      <c r="D64" s="29"/>
      <c r="E64" s="29"/>
      <c r="F64" s="29"/>
      <c r="H64" s="29"/>
      <c r="I64" s="29"/>
      <c r="L64" s="30"/>
      <c r="M64" s="30"/>
      <c r="N64" s="31"/>
      <c r="O64" s="32" t="s">
        <v>146</v>
      </c>
      <c r="P64" s="32">
        <f>SUM(P63)</f>
        <v>0</v>
      </c>
      <c r="Q64" s="32"/>
      <c r="R64" s="58"/>
      <c r="S64" s="32"/>
    </row>
    <row r="65" spans="1:21">
      <c r="C65" s="29"/>
      <c r="E65" s="29"/>
      <c r="F65" s="29"/>
      <c r="G65" s="29"/>
      <c r="H65" s="29"/>
      <c r="I65" s="29"/>
      <c r="J65" s="29"/>
      <c r="K65" s="29"/>
      <c r="L65" s="29"/>
      <c r="M65" s="29"/>
      <c r="N65" s="29"/>
      <c r="O65" s="29"/>
      <c r="P65" s="29"/>
      <c r="Q65" s="29"/>
      <c r="R65" s="29"/>
      <c r="S65" s="29"/>
      <c r="T65" s="29"/>
      <c r="U65" s="29"/>
    </row>
    <row r="66" spans="1:21">
      <c r="C66" s="29"/>
      <c r="D66" s="29"/>
      <c r="E66" s="29"/>
      <c r="F66" s="29"/>
    </row>
    <row r="67" spans="1:21">
      <c r="C67" s="29"/>
      <c r="D67" s="29"/>
      <c r="E67" s="29"/>
      <c r="F67" s="29"/>
    </row>
    <row r="68" spans="1:21" ht="21">
      <c r="A68" s="34" t="s">
        <v>86</v>
      </c>
      <c r="C68" s="29"/>
      <c r="E68" s="29"/>
      <c r="F68" s="29"/>
      <c r="L68" s="20"/>
      <c r="M68" s="20"/>
      <c r="N68" s="20"/>
      <c r="O68" s="20"/>
      <c r="P68" s="20"/>
      <c r="Q68" s="20"/>
    </row>
    <row r="69" spans="1:21">
      <c r="C69" s="49" t="s">
        <v>13</v>
      </c>
      <c r="D69" s="60" t="str">
        <f>'Beräkningssnurra A5.2-A5.5 '!D140</f>
        <v>Använd schablon</v>
      </c>
      <c r="E69" s="45"/>
      <c r="F69" s="29"/>
    </row>
    <row r="70" spans="1:21">
      <c r="C70" s="52" t="s">
        <v>70</v>
      </c>
      <c r="D70" s="60">
        <f>'Beräkningssnurra A5.2-A5.5 '!D142</f>
        <v>4</v>
      </c>
      <c r="E70" s="29" t="s">
        <v>71</v>
      </c>
      <c r="F70" s="29"/>
      <c r="H70" s="24" t="s">
        <v>72</v>
      </c>
      <c r="I70" s="25"/>
      <c r="J70" s="24" t="s">
        <v>151</v>
      </c>
      <c r="K70" s="25"/>
      <c r="L70" s="27" t="s">
        <v>140</v>
      </c>
      <c r="M70" s="21" t="str">
        <f>M62</f>
        <v>Nyttjandegrad (h/h)</v>
      </c>
      <c r="N70" s="26" t="s">
        <v>142</v>
      </c>
      <c r="O70" s="27"/>
      <c r="P70" s="22" t="s">
        <v>36</v>
      </c>
      <c r="Q70" s="13" t="s">
        <v>143</v>
      </c>
      <c r="R70" s="13" t="s">
        <v>143</v>
      </c>
      <c r="S70" s="13" t="s">
        <v>144</v>
      </c>
    </row>
    <row r="71" spans="1:21">
      <c r="C71" s="52"/>
      <c r="D71" s="52"/>
      <c r="E71" s="29"/>
      <c r="F71" s="29"/>
      <c r="H71" s="3">
        <f>$C$24</f>
        <v>6</v>
      </c>
      <c r="I71" s="3" t="s">
        <v>63</v>
      </c>
      <c r="J71" s="6">
        <f>VLOOKUP(D72,Listor!C29:D30,2,FALSE)</f>
        <v>0.45800000000000002</v>
      </c>
      <c r="K71" s="3" t="s">
        <v>156</v>
      </c>
      <c r="L71" s="19">
        <f>IF(D74="Ja",Listor!J30,Listor!J29)</f>
        <v>3650</v>
      </c>
      <c r="M71" s="23">
        <v>1</v>
      </c>
      <c r="N71" s="18">
        <f>D70*J71*M71*L71</f>
        <v>6686.8</v>
      </c>
      <c r="O71" s="17" t="s">
        <v>139</v>
      </c>
      <c r="P71" s="19">
        <f>N71*$D$92</f>
        <v>247.41159999999999</v>
      </c>
      <c r="Q71" s="11">
        <f>P71/'Beräkningssnurra A5.2-A5.5 '!$D$19</f>
        <v>9.1126234847010962E-2</v>
      </c>
      <c r="R71" s="11">
        <f>P71/'Beräkningssnurra A5.2-A5.5 '!$D$49</f>
        <v>6.9389609115977205E-2</v>
      </c>
      <c r="S71" s="16" t="str">
        <f>S85</f>
        <v>Användning utifrån årlig användning Elbjörn</v>
      </c>
    </row>
    <row r="72" spans="1:21">
      <c r="C72" s="52" t="s">
        <v>80</v>
      </c>
      <c r="D72" s="60" t="str">
        <f>'Beräkningssnurra A5.2-A5.5 '!D144</f>
        <v>Strålkastare standard (0,46 kW)</v>
      </c>
      <c r="E72" s="29" t="s">
        <v>71</v>
      </c>
      <c r="F72" s="29"/>
      <c r="O72" s="32" t="s">
        <v>146</v>
      </c>
      <c r="P72" s="32">
        <f>SUM(P71)</f>
        <v>247.41159999999999</v>
      </c>
      <c r="Q72" s="32"/>
      <c r="R72" s="58"/>
    </row>
    <row r="73" spans="1:21">
      <c r="C73" s="52"/>
      <c r="D73" s="29"/>
      <c r="E73" s="29"/>
      <c r="F73" s="29"/>
      <c r="H73" s="29"/>
      <c r="I73" s="29"/>
      <c r="J73" s="54"/>
      <c r="K73" s="29"/>
      <c r="L73" s="32"/>
      <c r="M73" s="55"/>
      <c r="N73" s="31"/>
      <c r="O73" s="30"/>
      <c r="P73" s="32"/>
      <c r="Q73" s="32"/>
      <c r="R73" s="57"/>
      <c r="S73" s="57"/>
    </row>
    <row r="74" spans="1:21">
      <c r="C74" s="35" t="s">
        <v>88</v>
      </c>
      <c r="D74" s="60" t="str">
        <f>'Beräkningssnurra A5.2-A5.5 '!D146</f>
        <v>Nej</v>
      </c>
      <c r="E74" s="29" t="s">
        <v>68</v>
      </c>
      <c r="F74" s="29"/>
    </row>
    <row r="77" spans="1:21" ht="19.5">
      <c r="C77" s="87" t="s">
        <v>157</v>
      </c>
    </row>
    <row r="79" spans="1:21">
      <c r="C79" s="13" t="s">
        <v>105</v>
      </c>
      <c r="D79" s="39"/>
      <c r="E79" s="40"/>
      <c r="H79" s="24" t="s">
        <v>72</v>
      </c>
      <c r="I79" s="25"/>
      <c r="J79" s="24" t="s">
        <v>151</v>
      </c>
      <c r="K79" s="25"/>
      <c r="L79" s="27" t="s">
        <v>140</v>
      </c>
      <c r="M79" s="21" t="str">
        <f>M70</f>
        <v>Nyttjandegrad (h/h)</v>
      </c>
      <c r="N79" s="26" t="s">
        <v>142</v>
      </c>
      <c r="O79" s="27"/>
      <c r="P79" s="22" t="s">
        <v>36</v>
      </c>
      <c r="Q79" s="13" t="s">
        <v>143</v>
      </c>
      <c r="R79" s="13" t="s">
        <v>143</v>
      </c>
      <c r="S79" s="13" t="s">
        <v>144</v>
      </c>
    </row>
    <row r="80" spans="1:21">
      <c r="C80" s="3" t="s">
        <v>106</v>
      </c>
      <c r="D80" s="3">
        <f>'Schablonberäkning A5.2-A5.5'!D35</f>
        <v>1</v>
      </c>
      <c r="E80" s="3" t="s">
        <v>71</v>
      </c>
      <c r="H80" s="3">
        <f>C24-1</f>
        <v>5</v>
      </c>
      <c r="I80" s="3" t="s">
        <v>63</v>
      </c>
      <c r="J80" s="3">
        <f>'Schablonberäkning A5.2-A5.5'!H35</f>
        <v>2</v>
      </c>
      <c r="K80" s="3" t="s">
        <v>155</v>
      </c>
      <c r="L80" s="19">
        <f>'Schablonberäkning A5.2-A5.5'!J35</f>
        <v>866.66666666666674</v>
      </c>
      <c r="M80" s="17">
        <f>'Schablonberäkning A5.2-A5.5'!K35</f>
        <v>0.5</v>
      </c>
      <c r="N80" s="18">
        <f>D80*J80*L80*M80</f>
        <v>866.66666666666674</v>
      </c>
      <c r="O80" s="17" t="s">
        <v>139</v>
      </c>
      <c r="P80" s="19">
        <f>N80*$D$92</f>
        <v>32.06666666666667</v>
      </c>
      <c r="Q80" s="11">
        <f>P80/'Beräkningssnurra A5.2-A5.5 '!$D$19</f>
        <v>1.1810742089002638E-2</v>
      </c>
      <c r="R80" s="11">
        <f>P80/$C$10</f>
        <v>1.1810742089002638E-2</v>
      </c>
      <c r="S80" s="16" t="s">
        <v>149</v>
      </c>
    </row>
    <row r="81" spans="3:19">
      <c r="C81" s="3" t="s">
        <v>109</v>
      </c>
      <c r="D81" s="3">
        <f>'Schablonberäkning A5.2-A5.5'!D36</f>
        <v>1</v>
      </c>
      <c r="E81" s="3" t="s">
        <v>71</v>
      </c>
      <c r="H81" s="3">
        <f>C24-1</f>
        <v>5</v>
      </c>
      <c r="I81" s="3" t="s">
        <v>63</v>
      </c>
      <c r="J81" s="3">
        <f>'Schablonberäkning A5.2-A5.5'!H36</f>
        <v>2</v>
      </c>
      <c r="K81" s="3" t="s">
        <v>155</v>
      </c>
      <c r="L81" s="19">
        <f>'Schablonberäkning A5.2-A5.5'!J36</f>
        <v>866.66666666666674</v>
      </c>
      <c r="M81" s="17">
        <f>'Schablonberäkning A5.2-A5.5'!K36</f>
        <v>0.5</v>
      </c>
      <c r="N81" s="18">
        <f>D81*J81*L81*M81</f>
        <v>866.66666666666674</v>
      </c>
      <c r="O81" s="17" t="s">
        <v>139</v>
      </c>
      <c r="P81" s="19">
        <f>N81*$D$92</f>
        <v>32.06666666666667</v>
      </c>
      <c r="Q81" s="11">
        <f>P81/'Beräkningssnurra A5.2-A5.5 '!$D$19</f>
        <v>1.1810742089002638E-2</v>
      </c>
      <c r="R81" s="11">
        <f>P81/$C$10</f>
        <v>1.1810742089002638E-2</v>
      </c>
      <c r="S81" s="16" t="s">
        <v>149</v>
      </c>
    </row>
    <row r="82" spans="3:19">
      <c r="C82" s="3" t="s">
        <v>110</v>
      </c>
      <c r="D82" s="3">
        <f>'Schablonberäkning A5.2-A5.5'!D37</f>
        <v>10</v>
      </c>
      <c r="E82" s="3" t="s">
        <v>71</v>
      </c>
      <c r="H82" s="3">
        <f>C24-1</f>
        <v>5</v>
      </c>
      <c r="I82" s="3" t="s">
        <v>63</v>
      </c>
      <c r="J82" s="3">
        <f>'Schablonberäkning A5.2-A5.5'!H37</f>
        <v>0.09</v>
      </c>
      <c r="K82" s="3" t="s">
        <v>155</v>
      </c>
      <c r="L82" s="19">
        <f>'Schablonberäkning A5.2-A5.5'!J37</f>
        <v>866.66666666666674</v>
      </c>
      <c r="M82" s="17">
        <f>'Schablonberäkning A5.2-A5.5'!K37</f>
        <v>0.5</v>
      </c>
      <c r="N82" s="18">
        <f>D82*J82*L82*M82</f>
        <v>390</v>
      </c>
      <c r="O82" s="17" t="s">
        <v>139</v>
      </c>
      <c r="P82" s="19">
        <f>N82*$D$92</f>
        <v>14.43</v>
      </c>
      <c r="Q82" s="11">
        <f>P82/'Beräkningssnurra A5.2-A5.5 '!$D$19</f>
        <v>5.3148339400511868E-3</v>
      </c>
      <c r="R82" s="11">
        <f>P82/$C$10</f>
        <v>5.3148339400511868E-3</v>
      </c>
      <c r="S82" s="16" t="s">
        <v>149</v>
      </c>
    </row>
    <row r="83" spans="3:19">
      <c r="L83" s="20"/>
      <c r="M83" s="20"/>
      <c r="N83" s="20"/>
      <c r="O83" s="32" t="s">
        <v>146</v>
      </c>
      <c r="P83" s="32">
        <f>SUM(P80:P82)*1.25</f>
        <v>98.204166666666666</v>
      </c>
      <c r="Q83" s="32"/>
      <c r="R83" s="58" t="s">
        <v>158</v>
      </c>
      <c r="S83" s="8"/>
    </row>
    <row r="84" spans="3:19">
      <c r="C84" s="13" t="s">
        <v>14</v>
      </c>
      <c r="D84" s="24"/>
      <c r="E84" s="25"/>
      <c r="H84" s="24" t="s">
        <v>72</v>
      </c>
      <c r="I84" s="25"/>
      <c r="J84" s="24" t="s">
        <v>151</v>
      </c>
      <c r="K84" s="25"/>
      <c r="L84" s="27" t="s">
        <v>140</v>
      </c>
      <c r="M84" s="21" t="str">
        <f>M79</f>
        <v>Nyttjandegrad (h/h)</v>
      </c>
      <c r="N84" s="26" t="s">
        <v>142</v>
      </c>
      <c r="O84" s="27"/>
      <c r="P84" s="22" t="s">
        <v>36</v>
      </c>
      <c r="Q84" s="13" t="s">
        <v>143</v>
      </c>
      <c r="R84" s="13" t="s">
        <v>143</v>
      </c>
      <c r="S84" s="13" t="s">
        <v>144</v>
      </c>
    </row>
    <row r="85" spans="3:19">
      <c r="C85" s="9" t="s">
        <v>111</v>
      </c>
      <c r="D85" s="3">
        <f>'Schablonberäkning A5.2-A5.5'!D40</f>
        <v>10</v>
      </c>
      <c r="E85" s="3" t="s">
        <v>159</v>
      </c>
      <c r="H85" s="3">
        <f>$C$24-1</f>
        <v>5</v>
      </c>
      <c r="I85" s="3" t="s">
        <v>63</v>
      </c>
      <c r="J85" s="3">
        <f>'Schablonberäkning A5.2-A5.5'!H40</f>
        <v>1.4E-2</v>
      </c>
      <c r="K85" s="3" t="s">
        <v>160</v>
      </c>
      <c r="L85" s="19">
        <f>'Schablonberäkning A5.2-A5.5'!J40</f>
        <v>3193.75</v>
      </c>
      <c r="M85" s="17">
        <f>'Schablonberäkning A5.2-A5.5'!K40</f>
        <v>1</v>
      </c>
      <c r="N85" s="18">
        <f>D85*L85*J85*M85</f>
        <v>447.125</v>
      </c>
      <c r="O85" s="17" t="s">
        <v>139</v>
      </c>
      <c r="P85" s="19">
        <f>N85*$D$92</f>
        <v>16.543624999999999</v>
      </c>
      <c r="Q85" s="11">
        <f>P85/'Beräkningssnurra A5.2-A5.5 '!$D$19</f>
        <v>6.0933208344753501E-3</v>
      </c>
      <c r="R85" s="11">
        <f>P85/$C$10</f>
        <v>6.0933208344753501E-3</v>
      </c>
      <c r="S85" s="16" t="s">
        <v>161</v>
      </c>
    </row>
    <row r="86" spans="3:19">
      <c r="C86" s="9" t="s">
        <v>114</v>
      </c>
      <c r="D86" s="3">
        <f>'Schablonberäkning A5.2-A5.5'!D41</f>
        <v>0</v>
      </c>
      <c r="E86" s="3" t="s">
        <v>159</v>
      </c>
      <c r="H86" s="3">
        <f>$C$24-1</f>
        <v>5</v>
      </c>
      <c r="I86" s="3" t="s">
        <v>63</v>
      </c>
      <c r="J86" s="3">
        <f>'Schablonberäkning A5.2-A5.5'!H41</f>
        <v>1.4E-2</v>
      </c>
      <c r="K86" s="3" t="s">
        <v>160</v>
      </c>
      <c r="L86" s="19">
        <f>'Schablonberäkning A5.2-A5.5'!J41</f>
        <v>1443.75</v>
      </c>
      <c r="M86" s="17">
        <f>'Schablonberäkning A5.2-A5.5'!K41</f>
        <v>1</v>
      </c>
      <c r="N86" s="18">
        <f>D86*L86*J86*M86</f>
        <v>0</v>
      </c>
      <c r="O86" s="17" t="s">
        <v>139</v>
      </c>
      <c r="P86" s="19">
        <f>N86*$D$92</f>
        <v>0</v>
      </c>
      <c r="Q86" s="11">
        <f>P86/'Beräkningssnurra A5.2-A5.5 '!$D$19</f>
        <v>0</v>
      </c>
      <c r="R86" s="11">
        <f>P86/$C$10</f>
        <v>0</v>
      </c>
      <c r="S86" s="16" t="str">
        <f>S85</f>
        <v>Användning utifrån årlig användning Elbjörn</v>
      </c>
    </row>
    <row r="87" spans="3:19">
      <c r="C87" s="9" t="s">
        <v>115</v>
      </c>
      <c r="D87" s="3">
        <f>'Schablonberäkning A5.2-A5.5'!D42</f>
        <v>10</v>
      </c>
      <c r="E87" s="3" t="s">
        <v>71</v>
      </c>
      <c r="H87" s="3">
        <f>$C$24-1</f>
        <v>5</v>
      </c>
      <c r="I87" s="3" t="s">
        <v>63</v>
      </c>
      <c r="J87" s="3">
        <f>'Schablonberäkning A5.2-A5.5'!H42</f>
        <v>2.1000000000000001E-2</v>
      </c>
      <c r="K87" s="3" t="s">
        <v>156</v>
      </c>
      <c r="L87" s="19">
        <f>'Schablonberäkning A5.2-A5.5'!J42</f>
        <v>3193.75</v>
      </c>
      <c r="M87" s="17">
        <f>'Schablonberäkning A5.2-A5.5'!K42</f>
        <v>1</v>
      </c>
      <c r="N87" s="18">
        <f>D87*L87*J87*M87</f>
        <v>670.6875</v>
      </c>
      <c r="O87" s="17" t="s">
        <v>139</v>
      </c>
      <c r="P87" s="19">
        <f>N87*$D$92</f>
        <v>24.815437499999998</v>
      </c>
      <c r="Q87" s="11">
        <f>P87/'Beräkningssnurra A5.2-A5.5 '!$D$19</f>
        <v>9.1399812517130256E-3</v>
      </c>
      <c r="R87" s="11">
        <f>P87/$C$10</f>
        <v>9.1399812517130256E-3</v>
      </c>
      <c r="S87" s="16" t="str">
        <f>S85</f>
        <v>Användning utifrån årlig användning Elbjörn</v>
      </c>
    </row>
    <row r="88" spans="3:19">
      <c r="C88" s="9" t="s">
        <v>117</v>
      </c>
      <c r="D88" s="3">
        <f>'Schablonberäkning A5.2-A5.5'!D43</f>
        <v>0</v>
      </c>
      <c r="E88" s="3" t="s">
        <v>71</v>
      </c>
      <c r="H88" s="3">
        <f>$C$24-1</f>
        <v>5</v>
      </c>
      <c r="I88" s="3" t="s">
        <v>63</v>
      </c>
      <c r="J88" s="3">
        <f>'Schablonberäkning A5.2-A5.5'!H43</f>
        <v>0.02</v>
      </c>
      <c r="K88" s="3" t="s">
        <v>156</v>
      </c>
      <c r="L88" s="19">
        <f>'Schablonberäkning A5.2-A5.5'!J43</f>
        <v>1443.75</v>
      </c>
      <c r="M88" s="17">
        <f>'Schablonberäkning A5.2-A5.5'!K43</f>
        <v>1</v>
      </c>
      <c r="N88" s="18">
        <f>D88*L88*J88*M88</f>
        <v>0</v>
      </c>
      <c r="O88" s="17" t="s">
        <v>139</v>
      </c>
      <c r="P88" s="19">
        <f>N88*$D$92</f>
        <v>0</v>
      </c>
      <c r="Q88" s="11">
        <f>P88/'Beräkningssnurra A5.2-A5.5 '!$D$19</f>
        <v>0</v>
      </c>
      <c r="R88" s="11">
        <f>P88/$C$10</f>
        <v>0</v>
      </c>
      <c r="S88" s="16" t="str">
        <f>S85</f>
        <v>Användning utifrån årlig användning Elbjörn</v>
      </c>
    </row>
    <row r="89" spans="3:19">
      <c r="O89" s="32" t="s">
        <v>146</v>
      </c>
      <c r="P89" s="32">
        <f>SUM(P85:P88)*1.25</f>
        <v>51.698828124999991</v>
      </c>
      <c r="Q89" s="32"/>
      <c r="R89" s="58" t="s">
        <v>158</v>
      </c>
    </row>
    <row r="90" spans="3:19" ht="15.75">
      <c r="C90" s="89" t="s">
        <v>162</v>
      </c>
    </row>
    <row r="91" spans="3:19">
      <c r="C91" s="5" t="s">
        <v>163</v>
      </c>
      <c r="D91" s="28" t="s">
        <v>164</v>
      </c>
      <c r="E91" s="28"/>
      <c r="F91" s="45"/>
      <c r="G91" s="45"/>
    </row>
    <row r="92" spans="3:19">
      <c r="C92" s="4" t="str">
        <f>'Schablonberäkning A5.2-A5.5'!C3</f>
        <v>Elektricitet, svensk elmix</v>
      </c>
      <c r="D92" s="4">
        <f>'Schablonberäkning A5.2-A5.5'!D3</f>
        <v>3.6999999999999998E-2</v>
      </c>
      <c r="E92" s="4" t="str">
        <f>'Schablonberäkning A5.2-A5.5'!E3</f>
        <v>kg CO2e/kWh</v>
      </c>
      <c r="F92" s="3"/>
      <c r="G92" s="3"/>
      <c r="J92" s="7"/>
      <c r="K92" s="7"/>
      <c r="L92" s="7"/>
      <c r="M92" s="7"/>
      <c r="N92" s="7"/>
      <c r="O92" s="7"/>
    </row>
    <row r="93" spans="3:19">
      <c r="C93" s="4" t="str">
        <f>'Schablonberäkning A5.2-A5.5'!C4</f>
        <v>Diesel, reduktionsplikt (2020)</v>
      </c>
      <c r="D93" s="4">
        <f>'Schablonberäkning A5.2-A5.5'!D4</f>
        <v>7.4999999999999997E-2</v>
      </c>
      <c r="E93" s="4" t="str">
        <f>'Schablonberäkning A5.2-A5.5'!E4</f>
        <v>kg CO2e/MJ</v>
      </c>
      <c r="F93" s="4"/>
      <c r="G93" s="4"/>
      <c r="J93" s="7"/>
      <c r="K93" s="7"/>
      <c r="L93" s="7"/>
      <c r="M93" s="7"/>
      <c r="N93" s="7"/>
      <c r="O93" s="7"/>
    </row>
    <row r="94" spans="3:19">
      <c r="C94" s="4" t="str">
        <f>'Schablonberäkning A5.2-A5.5'!C5</f>
        <v>Diesel, HVO100</v>
      </c>
      <c r="D94" s="4">
        <f>'Schablonberäkning A5.2-A5.5'!D5</f>
        <v>1.32E-2</v>
      </c>
      <c r="E94" s="4" t="str">
        <f>'Schablonberäkning A5.2-A5.5'!E5</f>
        <v>kg CO2e/MJ</v>
      </c>
      <c r="F94" s="4"/>
      <c r="G94" s="4"/>
      <c r="H94" s="7"/>
      <c r="I94" s="7"/>
      <c r="J94" s="7"/>
      <c r="K94" s="7"/>
      <c r="L94" s="7"/>
      <c r="M94" s="7"/>
      <c r="N94" s="7"/>
      <c r="O94" s="7"/>
    </row>
    <row r="95" spans="3:19">
      <c r="H95" s="7"/>
      <c r="I95" s="7"/>
      <c r="J95" s="7"/>
      <c r="K95" s="7"/>
      <c r="L95" s="7"/>
      <c r="M95" s="7"/>
      <c r="N95" s="7"/>
      <c r="O95" s="7"/>
    </row>
    <row r="96" spans="3:19">
      <c r="H96" s="7"/>
      <c r="I96" s="7"/>
      <c r="J96" s="7"/>
      <c r="K96" s="7"/>
      <c r="L96" s="7"/>
      <c r="M96" s="7"/>
      <c r="N96" s="7"/>
      <c r="O96" s="7"/>
    </row>
    <row r="97" spans="3:12">
      <c r="C97" s="234"/>
      <c r="D97" s="234"/>
      <c r="E97" s="234"/>
      <c r="F97" s="234"/>
      <c r="G97" s="86"/>
      <c r="H97" s="86"/>
      <c r="I97" s="86"/>
      <c r="J97" s="86"/>
      <c r="K97" s="86"/>
      <c r="L97" s="86"/>
    </row>
    <row r="98" spans="3:12">
      <c r="C98" s="234"/>
      <c r="D98" s="234"/>
      <c r="E98" s="234"/>
      <c r="F98" s="234"/>
      <c r="G98" s="86"/>
      <c r="H98" s="86"/>
      <c r="I98" s="86"/>
      <c r="J98" s="86"/>
      <c r="K98" s="86"/>
      <c r="L98" s="86"/>
    </row>
    <row r="99" spans="3:12">
      <c r="C99" s="234"/>
      <c r="D99" s="234"/>
      <c r="E99" s="234"/>
      <c r="F99" s="234"/>
    </row>
    <row r="100" spans="3:12">
      <c r="C100" s="234"/>
      <c r="D100" s="234"/>
      <c r="E100" s="234"/>
      <c r="F100" s="234"/>
    </row>
  </sheetData>
  <sheetProtection algorithmName="SHA-512" hashValue="3PLsfLGwdq7U8lhb9Dvhs8YnWK4gx3b55dQJdqr9qjoJkd4HHf7oSRtHtvX8iFwlV2ZpQwHbogHvvNWjH4FKWg==" saltValue="LIrC0IUy580DDuttvZTBTg==" spinCount="100000" sheet="1" objects="1" scenarios="1"/>
  <mergeCells count="1">
    <mergeCell ref="C97:F100"/>
  </mergeCells>
  <phoneticPr fontId="32" type="noConversion"/>
  <conditionalFormatting sqref="K7">
    <cfRule type="cellIs" dxfId="0" priority="1" operator="equal">
      <formula>0</formula>
    </cfRule>
    <cfRule type="colorScale" priority="2">
      <colorScale>
        <cfvo type="min"/>
        <cfvo type="max"/>
        <color rgb="FFFF7128"/>
        <color rgb="FFFFEF9C"/>
      </colorScale>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ABA62AE-B570-4C8A-9CF5-5FFBA399A36F}">
          <x14:formula1>
            <xm:f>Listor!$D$7:$D$8</xm:f>
          </x14:formula1>
          <xm:sqref>D37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72E8-0077-40EF-BC34-7255F96DDED5}">
  <sheetPr>
    <tabColor rgb="FFFF0000"/>
  </sheetPr>
  <dimension ref="B2:R48"/>
  <sheetViews>
    <sheetView zoomScale="55" zoomScaleNormal="55" workbookViewId="0">
      <selection activeCellId="28" sqref="A49:XFD1048576 L46:XFD48 E46:J48 A46:C48 A44:XFD45 L40:XFD43 I40:J43 E40:G43 A40:C43 A38:XFD39 L35:XFD37 I35:J37 E35:G37 A35:C37 A33:XFD34 L31:XFD32 G31:J32 E31:E32 A31:C32 A29:XFD30 L27:XFD28 E27:J28 A27:C28 A25:XFD26 L23:XFD24 G23:J24 E23:E24 A23:C24 A1:XFD22"/>
    </sheetView>
  </sheetViews>
  <sheetFormatPr defaultColWidth="9.140625" defaultRowHeight="15"/>
  <cols>
    <col min="1" max="2" width="9.140625" style="163"/>
    <col min="3" max="3" width="26.7109375" style="163" bestFit="1" customWidth="1"/>
    <col min="4" max="4" width="7.140625" style="163" bestFit="1" customWidth="1"/>
    <col min="5" max="5" width="15.140625" style="163" bestFit="1" customWidth="1"/>
    <col min="6" max="6" width="9.140625" style="163"/>
    <col min="7" max="7" width="14.85546875" style="163" bestFit="1" customWidth="1"/>
    <col min="8" max="9" width="9.140625" style="163"/>
    <col min="10" max="10" width="10.5703125" style="163" bestFit="1" customWidth="1"/>
    <col min="11" max="11" width="26.42578125" style="163" customWidth="1"/>
    <col min="12" max="12" width="13.5703125" style="163" customWidth="1"/>
    <col min="13" max="13" width="9.140625" style="163"/>
    <col min="14" max="14" width="22.7109375" style="163" customWidth="1"/>
    <col min="15" max="15" width="17.85546875" style="163" customWidth="1"/>
    <col min="16" max="16" width="14.140625" style="163" bestFit="1" customWidth="1"/>
    <col min="17" max="17" width="44.140625" style="163" bestFit="1" customWidth="1"/>
    <col min="18" max="16384" width="9.140625" style="163"/>
  </cols>
  <sheetData>
    <row r="2" spans="3:18">
      <c r="C2" s="184" t="s">
        <v>163</v>
      </c>
      <c r="D2" s="235" t="s">
        <v>164</v>
      </c>
      <c r="E2" s="235"/>
    </row>
    <row r="3" spans="3:18">
      <c r="C3" s="170" t="str">
        <f>Listor!C44</f>
        <v>Elektricitet, svensk elmix</v>
      </c>
      <c r="D3" s="185">
        <f>Listor!D44</f>
        <v>3.6999999999999998E-2</v>
      </c>
      <c r="E3" s="185" t="s">
        <v>25</v>
      </c>
      <c r="G3" s="186" t="s">
        <v>165</v>
      </c>
      <c r="H3" s="187"/>
      <c r="I3" s="187"/>
      <c r="J3" s="187"/>
      <c r="K3" s="187"/>
      <c r="L3" s="187"/>
      <c r="M3" s="187"/>
    </row>
    <row r="4" spans="3:18">
      <c r="C4" s="170" t="str">
        <f>Listor!C46</f>
        <v>Diesel, reduktionsplikt (2020)</v>
      </c>
      <c r="D4" s="170">
        <f>Listor!D46</f>
        <v>7.4999999999999997E-2</v>
      </c>
      <c r="E4" s="170" t="s">
        <v>27</v>
      </c>
      <c r="H4" s="187"/>
      <c r="I4" s="187"/>
      <c r="J4" s="187"/>
      <c r="K4" s="187"/>
      <c r="L4" s="187"/>
      <c r="M4" s="187"/>
    </row>
    <row r="5" spans="3:18">
      <c r="C5" s="170" t="str">
        <f>Listor!C45</f>
        <v>Diesel, HVO100</v>
      </c>
      <c r="D5" s="170">
        <f>Listor!D45</f>
        <v>1.32E-2</v>
      </c>
      <c r="E5" s="170" t="str">
        <f>E4</f>
        <v>kg CO2e/MJ</v>
      </c>
      <c r="H5" s="187"/>
      <c r="I5" s="187"/>
      <c r="J5" s="187"/>
      <c r="K5" s="187"/>
      <c r="L5" s="187"/>
      <c r="M5" s="187"/>
    </row>
    <row r="6" spans="3:18">
      <c r="C6" s="188"/>
      <c r="D6" s="188"/>
      <c r="E6" s="188"/>
      <c r="H6" s="187"/>
      <c r="I6" s="187"/>
      <c r="J6" s="187"/>
      <c r="K6" s="187"/>
      <c r="L6" s="187"/>
      <c r="M6" s="187"/>
    </row>
    <row r="7" spans="3:18">
      <c r="C7" s="163" t="s">
        <v>166</v>
      </c>
      <c r="D7" s="188"/>
      <c r="E7" s="188"/>
      <c r="H7" s="187"/>
      <c r="I7" s="187"/>
      <c r="J7" s="187"/>
      <c r="K7" s="187"/>
      <c r="L7" s="187"/>
      <c r="M7" s="187"/>
    </row>
    <row r="8" spans="3:18">
      <c r="C8" s="239" t="s">
        <v>167</v>
      </c>
      <c r="D8" s="239"/>
      <c r="E8" s="239"/>
      <c r="F8" s="239"/>
      <c r="G8" s="239"/>
      <c r="H8" s="239"/>
      <c r="I8" s="239"/>
      <c r="J8" s="239"/>
      <c r="K8" s="239"/>
      <c r="L8" s="187"/>
      <c r="M8" s="187"/>
    </row>
    <row r="9" spans="3:18" s="191" customFormat="1" ht="15" customHeight="1">
      <c r="C9" s="238"/>
      <c r="D9" s="238"/>
      <c r="E9" s="238"/>
      <c r="F9" s="238"/>
      <c r="G9" s="238"/>
      <c r="H9" s="238"/>
      <c r="I9" s="238"/>
      <c r="J9" s="238"/>
      <c r="K9" s="238"/>
      <c r="L9" s="189"/>
      <c r="M9" s="190"/>
    </row>
    <row r="10" spans="3:18" ht="37.5" customHeight="1">
      <c r="C10" s="192"/>
      <c r="D10" s="192"/>
      <c r="E10" s="192"/>
      <c r="F10" s="192"/>
      <c r="G10" s="192"/>
      <c r="H10" s="192"/>
      <c r="I10" s="192"/>
      <c r="J10" s="192"/>
      <c r="K10" s="192"/>
      <c r="L10" s="192"/>
      <c r="M10" s="187"/>
    </row>
    <row r="11" spans="3:18" ht="23.25">
      <c r="C11" s="193" t="s">
        <v>168</v>
      </c>
      <c r="H11" s="187"/>
      <c r="I11" s="187"/>
      <c r="J11" s="187"/>
      <c r="K11" s="187"/>
      <c r="L11" s="187"/>
      <c r="M11" s="187"/>
      <c r="R11" s="194"/>
    </row>
    <row r="12" spans="3:18" ht="19.5">
      <c r="C12" s="170" t="s">
        <v>169</v>
      </c>
      <c r="D12" s="195"/>
      <c r="H12" s="187"/>
      <c r="I12" s="187"/>
      <c r="J12" s="187"/>
      <c r="K12" s="196" t="s">
        <v>170</v>
      </c>
      <c r="L12" s="187"/>
      <c r="M12" s="187"/>
    </row>
    <row r="13" spans="3:18" ht="19.5">
      <c r="C13" s="170" t="s">
        <v>19</v>
      </c>
      <c r="D13" s="197"/>
      <c r="H13" s="187"/>
      <c r="I13" s="187"/>
      <c r="J13" s="187"/>
      <c r="K13" s="196" t="s">
        <v>171</v>
      </c>
      <c r="L13" s="187"/>
      <c r="M13" s="187"/>
    </row>
    <row r="14" spans="3:18">
      <c r="H14" s="187"/>
      <c r="I14" s="187"/>
      <c r="J14" s="187"/>
      <c r="K14" s="187"/>
      <c r="L14" s="187"/>
      <c r="M14" s="187"/>
    </row>
    <row r="15" spans="3:18">
      <c r="C15" s="194" t="s">
        <v>172</v>
      </c>
      <c r="D15" s="194" t="s">
        <v>173</v>
      </c>
      <c r="G15" s="194" t="s">
        <v>173</v>
      </c>
      <c r="K15" s="163" t="s">
        <v>138</v>
      </c>
      <c r="L15" s="163" t="s">
        <v>174</v>
      </c>
      <c r="M15" s="163" t="s">
        <v>175</v>
      </c>
    </row>
    <row r="16" spans="3:18">
      <c r="C16" s="170" t="s">
        <v>176</v>
      </c>
      <c r="D16" s="182">
        <f>SUM(N23:N48)</f>
        <v>3565.5424947916663</v>
      </c>
      <c r="E16" s="163" t="s">
        <v>36</v>
      </c>
      <c r="G16" s="198">
        <f>D16</f>
        <v>3565.5424947916663</v>
      </c>
      <c r="H16" s="163" t="s">
        <v>36</v>
      </c>
      <c r="K16" s="163" t="str">
        <f>Listor!C44</f>
        <v>Elektricitet, svensk elmix</v>
      </c>
      <c r="L16" s="199">
        <f>L27+L28+L31+L32+L35+L36+L37+L40+L41+L42+L43+L46+L47+L48</f>
        <v>47027.945833333331</v>
      </c>
      <c r="M16" s="199">
        <f>L16*1.25</f>
        <v>58784.932291666664</v>
      </c>
      <c r="N16" s="163" t="s">
        <v>139</v>
      </c>
    </row>
    <row r="17" spans="2:17">
      <c r="C17" s="170" t="s">
        <v>177</v>
      </c>
      <c r="D17" s="182">
        <f>D16/D19</f>
        <v>594.25708246527768</v>
      </c>
      <c r="E17" s="163" t="s">
        <v>37</v>
      </c>
      <c r="G17" s="198">
        <f>G16/D19</f>
        <v>594.25708246527768</v>
      </c>
      <c r="H17" s="163" t="str">
        <f>E17</f>
        <v>kg CO2e/månad</v>
      </c>
      <c r="K17" s="163" t="str">
        <f>Listor!C45</f>
        <v>Diesel, HVO100</v>
      </c>
      <c r="L17" s="163">
        <f>IF('Beräkningssnurra A5.2-A5.5 '!D100=Listor!C45,(L23),0)</f>
        <v>0</v>
      </c>
      <c r="M17" s="163">
        <f>L17*1.25</f>
        <v>0</v>
      </c>
      <c r="N17" s="163" t="s">
        <v>133</v>
      </c>
    </row>
    <row r="18" spans="2:17">
      <c r="B18" s="163" t="s">
        <v>178</v>
      </c>
      <c r="C18" s="170" t="s">
        <v>60</v>
      </c>
      <c r="D18" s="200">
        <f>'Uträkningar Snurra'!C22</f>
        <v>200</v>
      </c>
      <c r="E18" s="163" t="s">
        <v>136</v>
      </c>
      <c r="G18" s="198">
        <f>G16/D18</f>
        <v>17.827712473958332</v>
      </c>
      <c r="H18" s="163" t="s">
        <v>38</v>
      </c>
      <c r="K18" s="163" t="str">
        <f>Listor!C46</f>
        <v>Diesel, reduktionsplikt (2020)</v>
      </c>
      <c r="L18" s="199">
        <f>IF('Beräkningssnurra A5.2-A5.5 '!D100=Listor!C46,(L23),0)</f>
        <v>5760</v>
      </c>
      <c r="M18" s="199">
        <f>L18*1.25</f>
        <v>7200</v>
      </c>
      <c r="N18" s="163" t="s">
        <v>133</v>
      </c>
    </row>
    <row r="19" spans="2:17">
      <c r="C19" s="170" t="s">
        <v>62</v>
      </c>
      <c r="D19" s="200">
        <f>'Uträkningar Snurra'!C24</f>
        <v>6</v>
      </c>
      <c r="E19" s="163" t="s">
        <v>63</v>
      </c>
      <c r="K19" s="201" t="s">
        <v>179</v>
      </c>
    </row>
    <row r="20" spans="2:17">
      <c r="Q20" s="186"/>
    </row>
    <row r="21" spans="2:17">
      <c r="H21" s="202"/>
      <c r="I21" s="202"/>
      <c r="J21" s="202"/>
      <c r="K21" s="202"/>
      <c r="L21" s="202"/>
      <c r="M21" s="202"/>
      <c r="N21" s="202"/>
      <c r="O21" s="202" t="s">
        <v>180</v>
      </c>
      <c r="P21" s="202" t="s">
        <v>181</v>
      </c>
      <c r="Q21" s="203"/>
    </row>
    <row r="22" spans="2:17">
      <c r="C22" s="175" t="s">
        <v>65</v>
      </c>
      <c r="D22" s="236" t="s">
        <v>70</v>
      </c>
      <c r="E22" s="237"/>
      <c r="F22" s="236" t="s">
        <v>72</v>
      </c>
      <c r="G22" s="237"/>
      <c r="H22" s="236" t="s">
        <v>151</v>
      </c>
      <c r="I22" s="237"/>
      <c r="J22" s="204" t="s">
        <v>140</v>
      </c>
      <c r="K22" s="176" t="s">
        <v>182</v>
      </c>
      <c r="L22" s="236" t="s">
        <v>142</v>
      </c>
      <c r="M22" s="237"/>
      <c r="N22" s="175" t="s">
        <v>183</v>
      </c>
      <c r="O22" s="175" t="s">
        <v>143</v>
      </c>
      <c r="P22" s="175" t="s">
        <v>143</v>
      </c>
      <c r="Q22" s="175" t="s">
        <v>144</v>
      </c>
    </row>
    <row r="23" spans="2:17">
      <c r="C23" s="170" t="s">
        <v>9</v>
      </c>
      <c r="D23" s="154">
        <v>1</v>
      </c>
      <c r="E23" s="170" t="s">
        <v>71</v>
      </c>
      <c r="F23" s="154">
        <v>2</v>
      </c>
      <c r="G23" s="170" t="s">
        <v>73</v>
      </c>
      <c r="H23" s="183">
        <f>Listor!D8</f>
        <v>900</v>
      </c>
      <c r="I23" s="165" t="s">
        <v>184</v>
      </c>
      <c r="J23" s="165">
        <f>F23*8</f>
        <v>16</v>
      </c>
      <c r="K23" s="158">
        <v>0.4</v>
      </c>
      <c r="L23" s="164">
        <f>D23*J23*H23*K23</f>
        <v>5760</v>
      </c>
      <c r="M23" s="165" t="s">
        <v>133</v>
      </c>
      <c r="N23" s="166">
        <f>IF('Beräkningssnurra A5.2-A5.5 '!D100=Listor!C46,L23*D4,L23*D5)*1.25</f>
        <v>540</v>
      </c>
      <c r="O23" s="167">
        <f>N23/'Beräkningssnurra A5.2-A5.5 '!$D$17</f>
        <v>0.19889191459651018</v>
      </c>
      <c r="P23" s="168">
        <f>N23/'Beräkningssnurra A5.2-A5.5 '!$D$49</f>
        <v>0.15144960431373344</v>
      </c>
      <c r="Q23" s="169" t="s">
        <v>145</v>
      </c>
    </row>
    <row r="24" spans="2:17">
      <c r="C24" s="170" t="s">
        <v>10</v>
      </c>
      <c r="D24" s="154">
        <v>1</v>
      </c>
      <c r="E24" s="170" t="s">
        <v>71</v>
      </c>
      <c r="F24" s="154">
        <v>1</v>
      </c>
      <c r="G24" s="170" t="s">
        <v>76</v>
      </c>
      <c r="H24" s="183">
        <f>Listor!D15</f>
        <v>324</v>
      </c>
      <c r="I24" s="165" t="s">
        <v>184</v>
      </c>
      <c r="J24" s="165">
        <f>F24*5*8</f>
        <v>40</v>
      </c>
      <c r="K24" s="158">
        <v>0.7</v>
      </c>
      <c r="L24" s="164">
        <f>D24*J24*H24*K24</f>
        <v>9072</v>
      </c>
      <c r="M24" s="165" t="s">
        <v>133</v>
      </c>
      <c r="N24" s="166">
        <f>IF('Beräkningssnurra A5.2-A5.5 '!D100=Listor!C46,L24*D4,L24*D5)*1.25</f>
        <v>850.5</v>
      </c>
      <c r="O24" s="167"/>
      <c r="P24" s="168">
        <f>N24/'Beräkningssnurra A5.2-A5.5 '!$D$49</f>
        <v>0.23853312679413019</v>
      </c>
      <c r="Q24" s="169" t="s">
        <v>149</v>
      </c>
    </row>
    <row r="25" spans="2:17">
      <c r="H25" s="174"/>
      <c r="I25" s="174"/>
      <c r="J25" s="174"/>
      <c r="K25" s="174"/>
      <c r="L25" s="174"/>
      <c r="M25" s="174"/>
      <c r="N25" s="174"/>
      <c r="O25" s="174"/>
    </row>
    <row r="26" spans="2:17">
      <c r="C26" s="175" t="s">
        <v>78</v>
      </c>
      <c r="D26" s="236" t="s">
        <v>70</v>
      </c>
      <c r="E26" s="237"/>
      <c r="F26" s="236" t="s">
        <v>72</v>
      </c>
      <c r="G26" s="237"/>
      <c r="H26" s="240" t="s">
        <v>151</v>
      </c>
      <c r="I26" s="241"/>
      <c r="J26" s="177" t="s">
        <v>140</v>
      </c>
      <c r="K26" s="176" t="s">
        <v>182</v>
      </c>
      <c r="L26" s="240" t="s">
        <v>142</v>
      </c>
      <c r="M26" s="241"/>
      <c r="N26" s="175" t="s">
        <v>183</v>
      </c>
      <c r="O26" s="175" t="s">
        <v>143</v>
      </c>
      <c r="P26" s="175" t="s">
        <v>143</v>
      </c>
      <c r="Q26" s="175" t="s">
        <v>144</v>
      </c>
    </row>
    <row r="27" spans="2:17">
      <c r="C27" s="170" t="s">
        <v>97</v>
      </c>
      <c r="D27" s="154">
        <v>1</v>
      </c>
      <c r="E27" s="170" t="s">
        <v>71</v>
      </c>
      <c r="F27" s="170">
        <f>D19</f>
        <v>6</v>
      </c>
      <c r="G27" s="170" t="s">
        <v>63</v>
      </c>
      <c r="H27" s="165">
        <f>Listor!D18</f>
        <v>8500</v>
      </c>
      <c r="I27" s="165" t="s">
        <v>152</v>
      </c>
      <c r="J27" s="165"/>
      <c r="K27" s="158">
        <v>1</v>
      </c>
      <c r="L27" s="164">
        <f>D27*F27*(H27/12)*K27</f>
        <v>4250</v>
      </c>
      <c r="M27" s="165" t="s">
        <v>139</v>
      </c>
      <c r="N27" s="166">
        <f>L27*$D$3*1.25</f>
        <v>196.5625</v>
      </c>
      <c r="O27" s="167">
        <f>N27/'Beräkningssnurra A5.2-A5.5 '!$D$17</f>
        <v>7.2397577709030617E-2</v>
      </c>
      <c r="P27" s="168">
        <f>N27/'Beräkningssnurra A5.2-A5.5 '!$D$49</f>
        <v>5.5128357125774505E-2</v>
      </c>
      <c r="Q27" s="169" t="s">
        <v>153</v>
      </c>
    </row>
    <row r="28" spans="2:17">
      <c r="C28" s="170" t="s">
        <v>100</v>
      </c>
      <c r="D28" s="154"/>
      <c r="E28" s="170" t="s">
        <v>71</v>
      </c>
      <c r="F28" s="182">
        <f>D19</f>
        <v>6</v>
      </c>
      <c r="G28" s="170" t="s">
        <v>63</v>
      </c>
      <c r="H28" s="165">
        <f>Listor!D19</f>
        <v>5500</v>
      </c>
      <c r="I28" s="165" t="s">
        <v>152</v>
      </c>
      <c r="J28" s="165"/>
      <c r="K28" s="158">
        <v>1</v>
      </c>
      <c r="L28" s="164">
        <f>D28*F28*H28/12*K28</f>
        <v>0</v>
      </c>
      <c r="M28" s="165" t="s">
        <v>139</v>
      </c>
      <c r="N28" s="166">
        <f>L28*$D$3*1.25</f>
        <v>0</v>
      </c>
      <c r="O28" s="167">
        <f>N28/'Beräkningssnurra A5.2-A5.5 '!$D$17</f>
        <v>0</v>
      </c>
      <c r="P28" s="168">
        <f>N28/'Beräkningssnurra A5.2-A5.5 '!$D$49</f>
        <v>0</v>
      </c>
      <c r="Q28" s="169" t="s">
        <v>153</v>
      </c>
    </row>
    <row r="29" spans="2:17">
      <c r="L29" s="181"/>
      <c r="M29" s="181"/>
      <c r="N29" s="181"/>
      <c r="O29" s="181"/>
    </row>
    <row r="30" spans="2:17">
      <c r="C30" s="175" t="s">
        <v>12</v>
      </c>
      <c r="D30" s="236" t="s">
        <v>70</v>
      </c>
      <c r="E30" s="237"/>
      <c r="F30" s="236" t="s">
        <v>72</v>
      </c>
      <c r="G30" s="237"/>
      <c r="H30" s="236" t="s">
        <v>151</v>
      </c>
      <c r="I30" s="237"/>
      <c r="J30" s="177" t="s">
        <v>140</v>
      </c>
      <c r="K30" s="176" t="s">
        <v>182</v>
      </c>
      <c r="L30" s="240" t="s">
        <v>142</v>
      </c>
      <c r="M30" s="241"/>
      <c r="N30" s="175" t="s">
        <v>183</v>
      </c>
      <c r="O30" s="175" t="s">
        <v>143</v>
      </c>
      <c r="P30" s="175" t="s">
        <v>143</v>
      </c>
      <c r="Q30" s="175" t="s">
        <v>144</v>
      </c>
    </row>
    <row r="31" spans="2:17">
      <c r="C31" s="170" t="s">
        <v>82</v>
      </c>
      <c r="D31" s="154">
        <v>1</v>
      </c>
      <c r="E31" s="170" t="s">
        <v>71</v>
      </c>
      <c r="F31" s="159">
        <f>D19-1</f>
        <v>5</v>
      </c>
      <c r="G31" s="170" t="s">
        <v>63</v>
      </c>
      <c r="H31" s="170">
        <f>Listor!D25</f>
        <v>9</v>
      </c>
      <c r="I31" s="170" t="s">
        <v>155</v>
      </c>
      <c r="J31" s="165">
        <f>F31*(365/12)*24</f>
        <v>3650</v>
      </c>
      <c r="K31" s="158">
        <v>1</v>
      </c>
      <c r="L31" s="164">
        <f>D31*J31*H31*K31</f>
        <v>32850</v>
      </c>
      <c r="M31" s="165" t="s">
        <v>139</v>
      </c>
      <c r="N31" s="166">
        <f>L31*$D$3*1.25</f>
        <v>1519.3125</v>
      </c>
      <c r="O31" s="167">
        <f>N31/'Beräkningssnurra A5.2-A5.5 '!$D$17</f>
        <v>0.55959068888038954</v>
      </c>
      <c r="P31" s="168">
        <f>N31/'Beräkningssnurra A5.2-A5.5 '!$D$49</f>
        <v>0.42610977213686879</v>
      </c>
      <c r="Q31" s="169" t="s">
        <v>154</v>
      </c>
    </row>
    <row r="32" spans="2:17">
      <c r="C32" s="170" t="s">
        <v>85</v>
      </c>
      <c r="D32" s="154"/>
      <c r="E32" s="170"/>
      <c r="F32" s="154">
        <f>D19-1</f>
        <v>5</v>
      </c>
      <c r="G32" s="170" t="s">
        <v>63</v>
      </c>
      <c r="H32" s="170">
        <f>Listor!D24</f>
        <v>5</v>
      </c>
      <c r="I32" s="170" t="s">
        <v>155</v>
      </c>
      <c r="J32" s="165">
        <f>F32*(365/12)*24</f>
        <v>3650</v>
      </c>
      <c r="K32" s="158">
        <v>1</v>
      </c>
      <c r="L32" s="164">
        <f>D32*J32*H32*K32</f>
        <v>0</v>
      </c>
      <c r="M32" s="165" t="s">
        <v>139</v>
      </c>
      <c r="N32" s="166">
        <f>L32*$D$3*1.25</f>
        <v>0</v>
      </c>
      <c r="O32" s="167">
        <f>N32/'Beräkningssnurra A5.2-A5.5 '!$D$17</f>
        <v>0</v>
      </c>
      <c r="P32" s="168">
        <f>N32/'Beräkningssnurra A5.2-A5.5 '!$D$49</f>
        <v>0</v>
      </c>
      <c r="Q32" s="169" t="s">
        <v>154</v>
      </c>
    </row>
    <row r="33" spans="3:17">
      <c r="J33" s="174"/>
      <c r="K33" s="174"/>
      <c r="L33" s="174"/>
      <c r="M33" s="174"/>
      <c r="N33" s="174"/>
      <c r="O33" s="174"/>
    </row>
    <row r="34" spans="3:17">
      <c r="C34" s="175" t="s">
        <v>105</v>
      </c>
      <c r="D34" s="236" t="s">
        <v>70</v>
      </c>
      <c r="E34" s="237"/>
      <c r="F34" s="236" t="s">
        <v>72</v>
      </c>
      <c r="G34" s="237"/>
      <c r="H34" s="236" t="s">
        <v>151</v>
      </c>
      <c r="I34" s="237"/>
      <c r="J34" s="177" t="s">
        <v>140</v>
      </c>
      <c r="K34" s="176" t="s">
        <v>182</v>
      </c>
      <c r="L34" s="240" t="s">
        <v>142</v>
      </c>
      <c r="M34" s="241"/>
      <c r="N34" s="175" t="s">
        <v>183</v>
      </c>
      <c r="O34" s="175" t="s">
        <v>143</v>
      </c>
      <c r="P34" s="175" t="s">
        <v>143</v>
      </c>
      <c r="Q34" s="175" t="s">
        <v>144</v>
      </c>
    </row>
    <row r="35" spans="3:17">
      <c r="C35" s="170" t="s">
        <v>106</v>
      </c>
      <c r="D35" s="154">
        <v>1</v>
      </c>
      <c r="E35" s="170" t="s">
        <v>71</v>
      </c>
      <c r="F35" s="170">
        <f>D19-1</f>
        <v>5</v>
      </c>
      <c r="G35" s="170" t="s">
        <v>63</v>
      </c>
      <c r="H35" s="154">
        <v>2</v>
      </c>
      <c r="I35" s="170" t="s">
        <v>155</v>
      </c>
      <c r="J35" s="166">
        <f>F35*52/12*5*8</f>
        <v>866.66666666666674</v>
      </c>
      <c r="K35" s="158">
        <v>0.5</v>
      </c>
      <c r="L35" s="164">
        <f>D35*H35*J35*K35</f>
        <v>866.66666666666674</v>
      </c>
      <c r="M35" s="165" t="s">
        <v>139</v>
      </c>
      <c r="N35" s="166">
        <f>L35*$D$3*1.25</f>
        <v>40.083333333333336</v>
      </c>
      <c r="O35" s="180">
        <f>N35/'Beräkningssnurra A5.2-A5.5 '!$D$17</f>
        <v>1.4763427611253302E-2</v>
      </c>
      <c r="P35" s="168">
        <f>N35/'Beräkningssnurra A5.2-A5.5 '!$D$49</f>
        <v>1.1241861060942252E-2</v>
      </c>
      <c r="Q35" s="169" t="s">
        <v>149</v>
      </c>
    </row>
    <row r="36" spans="3:17">
      <c r="C36" s="170" t="s">
        <v>109</v>
      </c>
      <c r="D36" s="154">
        <v>1</v>
      </c>
      <c r="E36" s="170" t="s">
        <v>71</v>
      </c>
      <c r="F36" s="170">
        <f>D19-1</f>
        <v>5</v>
      </c>
      <c r="G36" s="170" t="s">
        <v>63</v>
      </c>
      <c r="H36" s="154">
        <v>2</v>
      </c>
      <c r="I36" s="170" t="s">
        <v>155</v>
      </c>
      <c r="J36" s="166">
        <f>F36*52/12*5*8</f>
        <v>866.66666666666674</v>
      </c>
      <c r="K36" s="158">
        <v>0.5</v>
      </c>
      <c r="L36" s="164">
        <f>D36*H36*J36*K36</f>
        <v>866.66666666666674</v>
      </c>
      <c r="M36" s="165" t="s">
        <v>139</v>
      </c>
      <c r="N36" s="166">
        <f>L36*$D$3*1.25</f>
        <v>40.083333333333336</v>
      </c>
      <c r="O36" s="180">
        <f>N36/'Beräkningssnurra A5.2-A5.5 '!$D$17</f>
        <v>1.4763427611253302E-2</v>
      </c>
      <c r="P36" s="168">
        <f>N36/'Beräkningssnurra A5.2-A5.5 '!$D$49</f>
        <v>1.1241861060942252E-2</v>
      </c>
      <c r="Q36" s="169" t="s">
        <v>149</v>
      </c>
    </row>
    <row r="37" spans="3:17">
      <c r="C37" s="170" t="s">
        <v>110</v>
      </c>
      <c r="D37" s="154">
        <v>10</v>
      </c>
      <c r="E37" s="170" t="s">
        <v>71</v>
      </c>
      <c r="F37" s="170">
        <f>D19-1</f>
        <v>5</v>
      </c>
      <c r="G37" s="170" t="s">
        <v>63</v>
      </c>
      <c r="H37" s="154">
        <f>18*5*10^-3</f>
        <v>0.09</v>
      </c>
      <c r="I37" s="170" t="s">
        <v>155</v>
      </c>
      <c r="J37" s="166">
        <f>F37*52/12*5*8</f>
        <v>866.66666666666674</v>
      </c>
      <c r="K37" s="158">
        <v>0.5</v>
      </c>
      <c r="L37" s="164">
        <f>D37*H37*J37*K37</f>
        <v>390</v>
      </c>
      <c r="M37" s="165" t="s">
        <v>139</v>
      </c>
      <c r="N37" s="166">
        <f>L37*$D$3*1.25</f>
        <v>18.037500000000001</v>
      </c>
      <c r="O37" s="180">
        <f>N37/'Beräkningssnurra A5.2-A5.5 '!$D$17</f>
        <v>6.6435424250639863E-3</v>
      </c>
      <c r="P37" s="168">
        <f>N37/'Beräkningssnurra A5.2-A5.5 '!$D$49</f>
        <v>5.0588374774240136E-3</v>
      </c>
      <c r="Q37" s="169" t="s">
        <v>149</v>
      </c>
    </row>
    <row r="38" spans="3:17">
      <c r="J38" s="174"/>
      <c r="K38" s="174"/>
      <c r="L38" s="174"/>
      <c r="M38" s="174"/>
      <c r="N38" s="174"/>
      <c r="O38" s="174"/>
      <c r="P38" s="179"/>
      <c r="Q38" s="179"/>
    </row>
    <row r="39" spans="3:17">
      <c r="C39" s="175" t="s">
        <v>14</v>
      </c>
      <c r="D39" s="236" t="s">
        <v>70</v>
      </c>
      <c r="E39" s="237"/>
      <c r="F39" s="236" t="s">
        <v>72</v>
      </c>
      <c r="G39" s="237"/>
      <c r="H39" s="236" t="s">
        <v>151</v>
      </c>
      <c r="I39" s="237"/>
      <c r="J39" s="177" t="s">
        <v>140</v>
      </c>
      <c r="K39" s="176" t="s">
        <v>182</v>
      </c>
      <c r="L39" s="240" t="s">
        <v>142</v>
      </c>
      <c r="M39" s="241"/>
      <c r="N39" s="175" t="s">
        <v>183</v>
      </c>
      <c r="O39" s="175" t="s">
        <v>143</v>
      </c>
      <c r="P39" s="175" t="s">
        <v>143</v>
      </c>
      <c r="Q39" s="175" t="s">
        <v>144</v>
      </c>
    </row>
    <row r="40" spans="3:17">
      <c r="C40" s="172" t="s">
        <v>111</v>
      </c>
      <c r="D40" s="154">
        <v>10</v>
      </c>
      <c r="E40" s="170" t="s">
        <v>159</v>
      </c>
      <c r="F40" s="170">
        <f>$D$19-1</f>
        <v>5</v>
      </c>
      <c r="G40" s="170" t="s">
        <v>63</v>
      </c>
      <c r="H40" s="154">
        <f>14*10^-3</f>
        <v>1.4E-2</v>
      </c>
      <c r="I40" s="170" t="s">
        <v>160</v>
      </c>
      <c r="J40" s="166">
        <f>7665/12*F40</f>
        <v>3193.75</v>
      </c>
      <c r="K40" s="161">
        <v>1</v>
      </c>
      <c r="L40" s="164">
        <f>D40*J40*H40*K40</f>
        <v>447.125</v>
      </c>
      <c r="M40" s="165" t="s">
        <v>139</v>
      </c>
      <c r="N40" s="166">
        <f>L40*$D$3*1.25</f>
        <v>20.679531249999997</v>
      </c>
      <c r="O40" s="178">
        <f>N40/'Beräkningssnurra A5.2-A5.5 '!$D$17</f>
        <v>7.61665104309419E-3</v>
      </c>
      <c r="P40" s="168">
        <f>N40/'Beräkningssnurra A5.2-A5.5 '!$D$49</f>
        <v>5.799827454085158E-3</v>
      </c>
      <c r="Q40" s="169" t="s">
        <v>161</v>
      </c>
    </row>
    <row r="41" spans="3:17">
      <c r="C41" s="172" t="s">
        <v>114</v>
      </c>
      <c r="D41" s="154"/>
      <c r="E41" s="170" t="s">
        <v>159</v>
      </c>
      <c r="F41" s="170">
        <f t="shared" ref="F41:F43" si="0">$D$19-1</f>
        <v>5</v>
      </c>
      <c r="G41" s="170" t="s">
        <v>63</v>
      </c>
      <c r="H41" s="154">
        <f>14*10^-3</f>
        <v>1.4E-2</v>
      </c>
      <c r="I41" s="170" t="s">
        <v>160</v>
      </c>
      <c r="J41" s="166">
        <f>3465/12*F41</f>
        <v>1443.75</v>
      </c>
      <c r="K41" s="161">
        <v>1</v>
      </c>
      <c r="L41" s="164">
        <f>D41*J41*H41*K41</f>
        <v>0</v>
      </c>
      <c r="M41" s="165" t="s">
        <v>139</v>
      </c>
      <c r="N41" s="166">
        <f>L41*$D$3*1.25</f>
        <v>0</v>
      </c>
      <c r="O41" s="178">
        <f>N41/'Beräkningssnurra A5.2-A5.5 '!$D$17</f>
        <v>0</v>
      </c>
      <c r="P41" s="168">
        <f>N41/'Beräkningssnurra A5.2-A5.5 '!$D$49</f>
        <v>0</v>
      </c>
      <c r="Q41" s="169" t="str">
        <f>Q40</f>
        <v>Användning utifrån årlig användning Elbjörn</v>
      </c>
    </row>
    <row r="42" spans="3:17">
      <c r="C42" s="172" t="s">
        <v>115</v>
      </c>
      <c r="D42" s="154">
        <v>10</v>
      </c>
      <c r="E42" s="170" t="s">
        <v>71</v>
      </c>
      <c r="F42" s="170">
        <f t="shared" si="0"/>
        <v>5</v>
      </c>
      <c r="G42" s="170" t="s">
        <v>63</v>
      </c>
      <c r="H42" s="154">
        <f>21*10^-3</f>
        <v>2.1000000000000001E-2</v>
      </c>
      <c r="I42" s="170" t="s">
        <v>156</v>
      </c>
      <c r="J42" s="166">
        <f>7665/12*F42</f>
        <v>3193.75</v>
      </c>
      <c r="K42" s="161">
        <v>1</v>
      </c>
      <c r="L42" s="164">
        <f>D42*J42*H42*K42</f>
        <v>670.6875</v>
      </c>
      <c r="M42" s="165" t="s">
        <v>139</v>
      </c>
      <c r="N42" s="166">
        <f>L42*$D$3*1.25</f>
        <v>31.019296874999998</v>
      </c>
      <c r="O42" s="178">
        <f>N42/'Beräkningssnurra A5.2-A5.5 '!$D$17</f>
        <v>1.1424976564641287E-2</v>
      </c>
      <c r="P42" s="168">
        <f>N42/'Beräkningssnurra A5.2-A5.5 '!$D$49</f>
        <v>8.6997411811277382E-3</v>
      </c>
      <c r="Q42" s="169" t="str">
        <f>Q40</f>
        <v>Användning utifrån årlig användning Elbjörn</v>
      </c>
    </row>
    <row r="43" spans="3:17">
      <c r="C43" s="172" t="s">
        <v>117</v>
      </c>
      <c r="D43" s="154"/>
      <c r="E43" s="170" t="s">
        <v>71</v>
      </c>
      <c r="F43" s="170">
        <f t="shared" si="0"/>
        <v>5</v>
      </c>
      <c r="G43" s="170" t="s">
        <v>63</v>
      </c>
      <c r="H43" s="162">
        <f>20*10^-3</f>
        <v>0.02</v>
      </c>
      <c r="I43" s="170" t="s">
        <v>156</v>
      </c>
      <c r="J43" s="166">
        <f>3465/12*F43</f>
        <v>1443.75</v>
      </c>
      <c r="K43" s="161">
        <v>1</v>
      </c>
      <c r="L43" s="164">
        <f>D43*J43*H43*K43</f>
        <v>0</v>
      </c>
      <c r="M43" s="165" t="s">
        <v>139</v>
      </c>
      <c r="N43" s="166">
        <f>L43*$D$3*1.25</f>
        <v>0</v>
      </c>
      <c r="O43" s="178">
        <f>N43/'Beräkningssnurra A5.2-A5.5 '!$D$17</f>
        <v>0</v>
      </c>
      <c r="P43" s="168">
        <f>N43/'Beräkningssnurra A5.2-A5.5 '!$D$49</f>
        <v>0</v>
      </c>
      <c r="Q43" s="169" t="str">
        <f>Q40</f>
        <v>Användning utifrån årlig användning Elbjörn</v>
      </c>
    </row>
    <row r="44" spans="3:17">
      <c r="J44" s="174"/>
      <c r="K44" s="174"/>
      <c r="L44" s="174"/>
      <c r="M44" s="174"/>
      <c r="N44" s="174"/>
      <c r="O44" s="174"/>
    </row>
    <row r="45" spans="3:17">
      <c r="C45" s="175" t="s">
        <v>118</v>
      </c>
      <c r="D45" s="236"/>
      <c r="E45" s="237"/>
      <c r="F45" s="236" t="s">
        <v>72</v>
      </c>
      <c r="G45" s="237"/>
      <c r="H45" s="236" t="s">
        <v>151</v>
      </c>
      <c r="I45" s="237"/>
      <c r="J45" s="177" t="s">
        <v>140</v>
      </c>
      <c r="K45" s="176" t="s">
        <v>182</v>
      </c>
      <c r="L45" s="240" t="s">
        <v>142</v>
      </c>
      <c r="M45" s="241"/>
      <c r="N45" s="175" t="s">
        <v>183</v>
      </c>
      <c r="O45" s="175" t="s">
        <v>143</v>
      </c>
      <c r="P45" s="175" t="s">
        <v>143</v>
      </c>
      <c r="Q45" s="175" t="s">
        <v>144</v>
      </c>
    </row>
    <row r="46" spans="3:17">
      <c r="C46" s="172" t="s">
        <v>119</v>
      </c>
      <c r="D46" s="154">
        <v>4</v>
      </c>
      <c r="E46" s="170" t="s">
        <v>71</v>
      </c>
      <c r="F46" s="170">
        <f>$D$19</f>
        <v>6</v>
      </c>
      <c r="G46" s="170" t="s">
        <v>63</v>
      </c>
      <c r="H46" s="171">
        <f>Listor!D29</f>
        <v>0.45800000000000002</v>
      </c>
      <c r="I46" s="170" t="s">
        <v>156</v>
      </c>
      <c r="J46" s="166">
        <f>7300/12*F46</f>
        <v>3650</v>
      </c>
      <c r="K46" s="161">
        <v>1</v>
      </c>
      <c r="L46" s="164">
        <f>D46*J46*H46*K46</f>
        <v>6686.8</v>
      </c>
      <c r="M46" s="165" t="s">
        <v>139</v>
      </c>
      <c r="N46" s="166">
        <f>L46*$D$3*1.25</f>
        <v>309.2645</v>
      </c>
      <c r="O46" s="167">
        <f>N46/'Beräkningssnurra A5.2-A5.5 '!$D$17</f>
        <v>0.11390779355876374</v>
      </c>
      <c r="P46" s="168">
        <f>N46/'Beräkningssnurra A5.2-A5.5 '!$D$49</f>
        <v>8.6737011394971517E-2</v>
      </c>
      <c r="Q46" s="169" t="str">
        <f>Q40</f>
        <v>Användning utifrån årlig användning Elbjörn</v>
      </c>
    </row>
    <row r="47" spans="3:17">
      <c r="C47" s="172" t="s">
        <v>121</v>
      </c>
      <c r="D47" s="154"/>
      <c r="E47" s="170" t="s">
        <v>71</v>
      </c>
      <c r="F47" s="170">
        <f t="shared" ref="F47:F48" si="1">$D$19</f>
        <v>6</v>
      </c>
      <c r="G47" s="170" t="s">
        <v>63</v>
      </c>
      <c r="H47" s="171">
        <f>Listor!D30</f>
        <v>0.22</v>
      </c>
      <c r="I47" s="170" t="s">
        <v>156</v>
      </c>
      <c r="J47" s="166">
        <f>7300/12*F47</f>
        <v>3650</v>
      </c>
      <c r="K47" s="161">
        <v>1</v>
      </c>
      <c r="L47" s="164">
        <f>D47*J47*H47*K47</f>
        <v>0</v>
      </c>
      <c r="M47" s="165" t="s">
        <v>139</v>
      </c>
      <c r="N47" s="166">
        <f>L47*$D$3*1.25</f>
        <v>0</v>
      </c>
      <c r="O47" s="167">
        <f>N47/'Beräkningssnurra A5.2-A5.5 '!$D$17</f>
        <v>0</v>
      </c>
      <c r="P47" s="168">
        <f>N47/'Beräkningssnurra A5.2-A5.5 '!$D$49</f>
        <v>0</v>
      </c>
      <c r="Q47" s="169" t="str">
        <f>Q40</f>
        <v>Användning utifrån årlig användning Elbjörn</v>
      </c>
    </row>
    <row r="48" spans="3:17" ht="30">
      <c r="C48" s="173" t="s">
        <v>122</v>
      </c>
      <c r="D48" s="154"/>
      <c r="E48" s="170" t="s">
        <v>71</v>
      </c>
      <c r="F48" s="170">
        <f t="shared" si="1"/>
        <v>6</v>
      </c>
      <c r="G48" s="170" t="s">
        <v>63</v>
      </c>
      <c r="H48" s="170">
        <f>Listor!D30</f>
        <v>0.22</v>
      </c>
      <c r="I48" s="170" t="s">
        <v>156</v>
      </c>
      <c r="J48" s="166">
        <f>2160/12*F48</f>
        <v>1080</v>
      </c>
      <c r="K48" s="161">
        <v>1</v>
      </c>
      <c r="L48" s="164">
        <f>D48*J48*H48*K48</f>
        <v>0</v>
      </c>
      <c r="M48" s="165" t="s">
        <v>139</v>
      </c>
      <c r="N48" s="166">
        <f>L48*$D$3*1.25</f>
        <v>0</v>
      </c>
      <c r="O48" s="167">
        <f>N48/'Beräkningssnurra A5.2-A5.5 '!$D$17</f>
        <v>0</v>
      </c>
      <c r="P48" s="168">
        <f>N48/'Beräkningssnurra A5.2-A5.5 '!$D$49</f>
        <v>0</v>
      </c>
      <c r="Q48" s="169" t="str">
        <f>Q40</f>
        <v>Användning utifrån årlig användning Elbjörn</v>
      </c>
    </row>
  </sheetData>
  <sheetProtection algorithmName="SHA-512" hashValue="IW6re+TysfzUSvKkiWVoBEmaX/qoNHh1rj7Wy4PLBYgMk6HznRohqpbnb/cK9UU2GdYC3SGW3KmHXPWRn+ua3g==" saltValue="zW1iex4TZ74fSKlS4kB1Hg==" spinCount="100000" sheet="1" objects="1" scenarios="1"/>
  <mergeCells count="27">
    <mergeCell ref="D26:E26"/>
    <mergeCell ref="F26:G26"/>
    <mergeCell ref="H26:I26"/>
    <mergeCell ref="L26:M26"/>
    <mergeCell ref="D34:E34"/>
    <mergeCell ref="F34:G34"/>
    <mergeCell ref="H34:I34"/>
    <mergeCell ref="L34:M34"/>
    <mergeCell ref="D30:E30"/>
    <mergeCell ref="F30:G30"/>
    <mergeCell ref="H30:I30"/>
    <mergeCell ref="L30:M30"/>
    <mergeCell ref="D39:E39"/>
    <mergeCell ref="F39:G39"/>
    <mergeCell ref="H39:I39"/>
    <mergeCell ref="L39:M39"/>
    <mergeCell ref="D45:E45"/>
    <mergeCell ref="F45:G45"/>
    <mergeCell ref="H45:I45"/>
    <mergeCell ref="L45:M45"/>
    <mergeCell ref="D2:E2"/>
    <mergeCell ref="H22:I22"/>
    <mergeCell ref="L22:M22"/>
    <mergeCell ref="F22:G22"/>
    <mergeCell ref="D22:E22"/>
    <mergeCell ref="C9:K9"/>
    <mergeCell ref="C8:K8"/>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75A8-29F2-4539-8D9D-FA38A81BEF87}">
  <sheetPr>
    <tabColor rgb="FFFF0000"/>
  </sheetPr>
  <dimension ref="B2:L46"/>
  <sheetViews>
    <sheetView zoomScale="40" zoomScaleNormal="40" workbookViewId="0">
      <selection activeCell="D11" activeCellId="12" sqref="A41:XFD1048576 D32:XFD40 E7:XFD31 A7:B40 A1:XFD6 C28 C22 C17 C11 D28 D21 D16 D11"/>
    </sheetView>
  </sheetViews>
  <sheetFormatPr defaultColWidth="9.140625" defaultRowHeight="15"/>
  <cols>
    <col min="1" max="1" width="9.140625" style="148"/>
    <col min="2" max="2" width="30.28515625" style="148" bestFit="1" customWidth="1"/>
    <col min="3" max="3" width="36" style="148" bestFit="1" customWidth="1"/>
    <col min="4" max="4" width="17" style="148" bestFit="1" customWidth="1"/>
    <col min="5" max="5" width="13.140625" style="148" bestFit="1" customWidth="1"/>
    <col min="6" max="6" width="25" style="148" bestFit="1" customWidth="1"/>
    <col min="7" max="7" width="19.42578125" style="148" bestFit="1" customWidth="1"/>
    <col min="8" max="8" width="19.5703125" style="148" bestFit="1" customWidth="1"/>
    <col min="9" max="9" width="9.140625" style="148"/>
    <col min="10" max="10" width="11.5703125" style="148" bestFit="1" customWidth="1"/>
    <col min="11" max="11" width="6.140625" style="148" bestFit="1" customWidth="1"/>
    <col min="12" max="12" width="23.42578125" style="148" bestFit="1" customWidth="1"/>
    <col min="13" max="16384" width="9.140625" style="148"/>
  </cols>
  <sheetData>
    <row r="2" spans="2:10" ht="19.5">
      <c r="C2" s="155" t="s">
        <v>185</v>
      </c>
    </row>
    <row r="3" spans="2:10">
      <c r="C3" s="150" t="s">
        <v>186</v>
      </c>
    </row>
    <row r="4" spans="2:10" ht="23.25">
      <c r="B4" s="152" t="s">
        <v>187</v>
      </c>
      <c r="J4" s="153"/>
    </row>
    <row r="6" spans="2:10">
      <c r="B6" s="148" t="s">
        <v>188</v>
      </c>
      <c r="C6" s="205" t="s">
        <v>189</v>
      </c>
      <c r="D6" s="205" t="s">
        <v>142</v>
      </c>
      <c r="E6" s="205" t="s">
        <v>190</v>
      </c>
      <c r="F6" s="149" t="s">
        <v>191</v>
      </c>
    </row>
    <row r="7" spans="2:10">
      <c r="C7" s="206" t="s">
        <v>192</v>
      </c>
      <c r="D7" s="154">
        <v>432</v>
      </c>
      <c r="E7" s="149" t="s">
        <v>184</v>
      </c>
      <c r="F7" s="149" t="s">
        <v>193</v>
      </c>
    </row>
    <row r="8" spans="2:10">
      <c r="C8" s="206" t="s">
        <v>75</v>
      </c>
      <c r="D8" s="207">
        <v>900</v>
      </c>
      <c r="E8" s="149" t="s">
        <v>184</v>
      </c>
      <c r="F8" s="149" t="s">
        <v>193</v>
      </c>
    </row>
    <row r="11" spans="2:10">
      <c r="B11" s="148" t="s">
        <v>10</v>
      </c>
      <c r="C11" s="149" t="s">
        <v>189</v>
      </c>
      <c r="D11" s="149" t="s">
        <v>142</v>
      </c>
      <c r="E11" s="149" t="s">
        <v>190</v>
      </c>
      <c r="F11" s="149" t="s">
        <v>191</v>
      </c>
    </row>
    <row r="12" spans="2:10">
      <c r="C12" s="206" t="s">
        <v>194</v>
      </c>
      <c r="D12" s="154">
        <v>86</v>
      </c>
      <c r="E12" s="149" t="s">
        <v>184</v>
      </c>
      <c r="F12" s="149" t="s">
        <v>193</v>
      </c>
    </row>
    <row r="13" spans="2:10">
      <c r="C13" s="206" t="s">
        <v>195</v>
      </c>
      <c r="D13" s="207">
        <v>126</v>
      </c>
      <c r="E13" s="149" t="s">
        <v>184</v>
      </c>
      <c r="F13" s="149" t="s">
        <v>193</v>
      </c>
    </row>
    <row r="14" spans="2:10">
      <c r="C14" s="206" t="s">
        <v>196</v>
      </c>
      <c r="D14" s="154">
        <v>252</v>
      </c>
      <c r="E14" s="149" t="s">
        <v>184</v>
      </c>
      <c r="F14" s="149" t="s">
        <v>193</v>
      </c>
    </row>
    <row r="15" spans="2:10">
      <c r="C15" s="206" t="s">
        <v>77</v>
      </c>
      <c r="D15" s="207">
        <v>324</v>
      </c>
      <c r="E15" s="149" t="s">
        <v>184</v>
      </c>
      <c r="F15" s="149" t="s">
        <v>193</v>
      </c>
    </row>
    <row r="16" spans="2:10">
      <c r="C16" s="208"/>
      <c r="D16" s="151"/>
      <c r="E16" s="151"/>
      <c r="F16" s="151"/>
    </row>
    <row r="17" spans="2:12">
      <c r="B17" s="148" t="s">
        <v>11</v>
      </c>
      <c r="C17" s="149" t="s">
        <v>189</v>
      </c>
      <c r="D17" s="149" t="s">
        <v>197</v>
      </c>
      <c r="E17" s="149" t="s">
        <v>190</v>
      </c>
      <c r="F17" s="149" t="s">
        <v>191</v>
      </c>
    </row>
    <row r="18" spans="2:12">
      <c r="C18" s="206" t="s">
        <v>81</v>
      </c>
      <c r="D18" s="154">
        <v>8500</v>
      </c>
      <c r="E18" s="157" t="s">
        <v>152</v>
      </c>
      <c r="F18" s="149" t="s">
        <v>198</v>
      </c>
    </row>
    <row r="19" spans="2:12">
      <c r="C19" s="206" t="s">
        <v>199</v>
      </c>
      <c r="D19" s="207">
        <v>5500</v>
      </c>
      <c r="E19" s="157" t="s">
        <v>152</v>
      </c>
      <c r="F19" s="149" t="s">
        <v>198</v>
      </c>
    </row>
    <row r="22" spans="2:12">
      <c r="B22" s="148" t="s">
        <v>200</v>
      </c>
      <c r="C22" s="149" t="s">
        <v>189</v>
      </c>
      <c r="D22" s="149" t="s">
        <v>197</v>
      </c>
      <c r="E22" s="149" t="s">
        <v>190</v>
      </c>
      <c r="F22" s="149" t="s">
        <v>191</v>
      </c>
    </row>
    <row r="23" spans="2:12">
      <c r="C23" s="206" t="s">
        <v>201</v>
      </c>
      <c r="D23" s="154">
        <v>3</v>
      </c>
      <c r="E23" s="149" t="s">
        <v>155</v>
      </c>
      <c r="F23" s="149" t="s">
        <v>202</v>
      </c>
    </row>
    <row r="24" spans="2:12">
      <c r="C24" s="206" t="s">
        <v>203</v>
      </c>
      <c r="D24" s="207">
        <v>5</v>
      </c>
      <c r="E24" s="149" t="s">
        <v>155</v>
      </c>
      <c r="F24" s="149" t="s">
        <v>202</v>
      </c>
    </row>
    <row r="25" spans="2:12">
      <c r="C25" s="206" t="s">
        <v>204</v>
      </c>
      <c r="D25" s="154">
        <v>9</v>
      </c>
      <c r="E25" s="149" t="s">
        <v>155</v>
      </c>
      <c r="F25" s="149" t="s">
        <v>205</v>
      </c>
    </row>
    <row r="26" spans="2:12">
      <c r="C26" s="206" t="s">
        <v>206</v>
      </c>
      <c r="D26" s="207">
        <v>18</v>
      </c>
      <c r="E26" s="149" t="s">
        <v>155</v>
      </c>
      <c r="F26" s="149" t="s">
        <v>205</v>
      </c>
    </row>
    <row r="28" spans="2:12">
      <c r="B28" s="148" t="s">
        <v>13</v>
      </c>
      <c r="C28" s="149" t="s">
        <v>189</v>
      </c>
      <c r="D28" s="149" t="s">
        <v>197</v>
      </c>
      <c r="E28" s="149" t="s">
        <v>190</v>
      </c>
      <c r="F28" s="149" t="s">
        <v>191</v>
      </c>
      <c r="J28" s="149" t="s">
        <v>72</v>
      </c>
      <c r="K28" s="149" t="s">
        <v>190</v>
      </c>
      <c r="L28" s="149"/>
    </row>
    <row r="29" spans="2:12">
      <c r="C29" s="206" t="s">
        <v>87</v>
      </c>
      <c r="D29" s="154">
        <v>0.45800000000000002</v>
      </c>
      <c r="E29" s="149" t="s">
        <v>156</v>
      </c>
      <c r="F29" s="149" t="s">
        <v>205</v>
      </c>
      <c r="G29" s="149" t="s">
        <v>119</v>
      </c>
      <c r="J29" s="209">
        <f>7300/12*'Schablonberäkning A5.2-A5.5'!D19</f>
        <v>3650</v>
      </c>
      <c r="K29" s="149" t="s">
        <v>207</v>
      </c>
      <c r="L29" s="149" t="s">
        <v>208</v>
      </c>
    </row>
    <row r="30" spans="2:12">
      <c r="C30" s="206" t="s">
        <v>209</v>
      </c>
      <c r="D30" s="207">
        <v>0.22</v>
      </c>
      <c r="E30" s="149" t="s">
        <v>156</v>
      </c>
      <c r="F30" s="149" t="s">
        <v>205</v>
      </c>
      <c r="G30" s="149" t="s">
        <v>121</v>
      </c>
      <c r="H30" s="149" t="s">
        <v>210</v>
      </c>
      <c r="J30" s="149">
        <f>2160/12*'Uträkningar Snurra'!C24</f>
        <v>1080</v>
      </c>
      <c r="K30" s="149" t="s">
        <v>207</v>
      </c>
      <c r="L30" s="149" t="s">
        <v>211</v>
      </c>
    </row>
    <row r="31" spans="2:12">
      <c r="C31" s="206"/>
      <c r="D31" s="154"/>
    </row>
    <row r="33" spans="2:5">
      <c r="B33" s="148" t="s">
        <v>212</v>
      </c>
      <c r="C33" s="206" t="s">
        <v>213</v>
      </c>
    </row>
    <row r="34" spans="2:5">
      <c r="C34" s="206" t="s">
        <v>15</v>
      </c>
    </row>
    <row r="36" spans="2:5">
      <c r="B36" s="148" t="s">
        <v>214</v>
      </c>
      <c r="C36" s="206" t="s">
        <v>8</v>
      </c>
    </row>
    <row r="37" spans="2:5">
      <c r="C37" s="206" t="s">
        <v>15</v>
      </c>
    </row>
    <row r="39" spans="2:5">
      <c r="B39" s="148" t="s">
        <v>215</v>
      </c>
      <c r="C39" s="206" t="s">
        <v>216</v>
      </c>
    </row>
    <row r="40" spans="2:5">
      <c r="C40" s="206" t="s">
        <v>69</v>
      </c>
    </row>
    <row r="42" spans="2:5">
      <c r="C42" s="156" t="s">
        <v>217</v>
      </c>
      <c r="D42" s="210"/>
    </row>
    <row r="43" spans="2:5">
      <c r="B43" s="148" t="s">
        <v>218</v>
      </c>
      <c r="C43" s="242" t="s">
        <v>219</v>
      </c>
      <c r="D43" s="243"/>
      <c r="E43" s="149" t="s">
        <v>190</v>
      </c>
    </row>
    <row r="44" spans="2:5">
      <c r="C44" s="160" t="s">
        <v>24</v>
      </c>
      <c r="D44" s="211">
        <f>Emissionsfaktorer!F7</f>
        <v>3.6999999999999998E-2</v>
      </c>
      <c r="E44" s="149" t="s">
        <v>25</v>
      </c>
    </row>
    <row r="45" spans="2:5">
      <c r="C45" s="160" t="s">
        <v>26</v>
      </c>
      <c r="D45" s="211">
        <f>Emissionsfaktorer!F8</f>
        <v>1.32E-2</v>
      </c>
      <c r="E45" s="149" t="s">
        <v>27</v>
      </c>
    </row>
    <row r="46" spans="2:5">
      <c r="C46" s="160" t="s">
        <v>67</v>
      </c>
      <c r="D46" s="211">
        <f>Emissionsfaktorer!F9</f>
        <v>7.4999999999999997E-2</v>
      </c>
      <c r="E46" s="149" t="s">
        <v>27</v>
      </c>
    </row>
  </sheetData>
  <sheetProtection algorithmName="SHA-512" hashValue="6+ojiGQENz4EGeyQobibhdAbZffu6siwvkZoA1zmSTr+yx7Csd8fdRFLMTGqkV9EY5darEam9jmOwOqsyuWOGA==" saltValue="zxEIjXwxT1gW3r4JSdWZAg==" spinCount="100000" sheet="1" objects="1" scenarios="1"/>
  <mergeCells count="1">
    <mergeCell ref="C43:D43"/>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 id="{28EA3B0A-B282-4BF4-8BD8-24325AB29B23}">
            <xm:f>'Beräkningssnurra A5.2-A5.5 '!$D$102=$C$39</xm:f>
            <x14:dxf/>
          </x14:cfRule>
          <xm:sqref>C32:E32 D33:E36 C38 E30:E31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1397-FA62-42ED-8224-A485F1E39223}">
  <sheetPr>
    <tabColor rgb="FFFF0000"/>
  </sheetPr>
  <dimension ref="C11:N21"/>
  <sheetViews>
    <sheetView topLeftCell="A8" workbookViewId="0">
      <selection activeCell="R19" sqref="R19"/>
    </sheetView>
  </sheetViews>
  <sheetFormatPr defaultColWidth="9.140625" defaultRowHeight="15"/>
  <cols>
    <col min="1" max="2" width="9.140625" style="1"/>
    <col min="3" max="3" width="19.42578125" style="1" bestFit="1" customWidth="1"/>
    <col min="4" max="12" width="9.140625" style="1"/>
    <col min="13" max="13" width="18.5703125" style="1" bestFit="1" customWidth="1"/>
    <col min="14" max="16384" width="9.140625" style="1"/>
  </cols>
  <sheetData>
    <row r="11" spans="3:14" ht="20.25">
      <c r="C11" s="65" t="s">
        <v>220</v>
      </c>
      <c r="M11" s="65" t="s">
        <v>221</v>
      </c>
    </row>
    <row r="12" spans="3:14">
      <c r="C12" s="62"/>
    </row>
    <row r="13" spans="3:14">
      <c r="C13" s="68" t="s">
        <v>9</v>
      </c>
      <c r="D13" s="82">
        <f>IF('Beräkningssnurra A5.2-A5.5 '!D102=Listor!C40,'Schablonberäkning A5.2-A5.5'!P23,'Uträkningar Snurra'!R32)</f>
        <v>0.15144960431373344</v>
      </c>
      <c r="M13" s="68" t="s">
        <v>9</v>
      </c>
      <c r="N13" s="82">
        <f>IF('Beräkningssnurra A5.2-A5.5 '!D102=Listor!C40,'Schablonberäkning A5.2-A5.5'!O23,'Uträkningar Snurra'!Q32)</f>
        <v>0.19889191459651018</v>
      </c>
    </row>
    <row r="14" spans="3:14">
      <c r="C14" s="68" t="s">
        <v>10</v>
      </c>
      <c r="D14" s="82">
        <f>IF('Beräkningssnurra A5.2-A5.5 '!D110=Listor!C40,'Schablonberäkning A5.2-A5.5'!P24,'Uträkningar Snurra'!R42)</f>
        <v>0.23853312679413019</v>
      </c>
    </row>
    <row r="15" spans="3:14">
      <c r="C15" s="68" t="s">
        <v>79</v>
      </c>
      <c r="D15" s="82">
        <f>IF('Beräkningssnurra A5.2-A5.5 '!D120=Listor!C40,'Schablonberäkning A5.2-A5.5'!P27,'Uträkningar Snurra'!R51)</f>
        <v>5.5128357125774505E-2</v>
      </c>
      <c r="M15" s="68" t="s">
        <v>79</v>
      </c>
      <c r="N15" s="82">
        <f>IF('Beräkningssnurra A5.2-A5.5 '!D120=Listor!C40,'Schablonberäkning A5.2-A5.5'!O27,'Uträkningar Snurra'!Q51)</f>
        <v>7.2397577709030617E-2</v>
      </c>
    </row>
    <row r="16" spans="3:14">
      <c r="C16" s="67" t="s">
        <v>82</v>
      </c>
      <c r="D16" s="82">
        <f>IF('Beräkningssnurra A5.2-A5.5 '!D129=Listor!C40,'Schablonberäkning A5.2-A5.5'!P31,'Uträkningar Snurra'!R71)</f>
        <v>0.42610977213686879</v>
      </c>
      <c r="M16" s="67" t="s">
        <v>82</v>
      </c>
      <c r="N16" s="82">
        <f>IF('Beräkningssnurra A5.2-A5.5 '!D129=Listor!C40,'Schablonberäkning A5.2-A5.5'!O31,'Uträkningar Snurra'!Q71)</f>
        <v>0.55959068888038954</v>
      </c>
    </row>
    <row r="17" spans="3:14">
      <c r="C17" s="67" t="s">
        <v>105</v>
      </c>
      <c r="D17" s="82">
        <f>SUM('Schablonberäkning A5.2-A5.5'!P35:P37)</f>
        <v>2.7542559599308517E-2</v>
      </c>
      <c r="M17" s="67" t="s">
        <v>105</v>
      </c>
      <c r="N17" s="82">
        <f>SUM('Schablonberäkning A5.2-A5.5'!O35:O37)</f>
        <v>3.6170397647570587E-2</v>
      </c>
    </row>
    <row r="18" spans="3:14">
      <c r="C18" s="67" t="s">
        <v>14</v>
      </c>
      <c r="D18" s="82">
        <f>SUM('Schablonberäkning A5.2-A5.5'!P40:P43)</f>
        <v>1.4499568635212897E-2</v>
      </c>
      <c r="M18" s="67" t="s">
        <v>14</v>
      </c>
      <c r="N18" s="82">
        <f>SUM('Schablonberäkning A5.2-A5.5'!O40:O43)</f>
        <v>1.9041627607735478E-2</v>
      </c>
    </row>
    <row r="19" spans="3:14">
      <c r="C19" s="67" t="s">
        <v>13</v>
      </c>
      <c r="D19" s="82">
        <f>IF('Beräkningssnurra A5.2-A5.5 '!D140=Listor!C40,SUM('Schablonberäkning A5.2-A5.5'!P46:P48),'Uträkningar Snurra'!R71)</f>
        <v>8.6737011394971517E-2</v>
      </c>
      <c r="M19" s="67" t="s">
        <v>13</v>
      </c>
      <c r="N19" s="82">
        <f>IF('Beräkningssnurra A5.2-A5.5 '!D140=Listor!C40,SUM('Schablonberäkning A5.2-A5.5'!O46:O48),'Uträkningar Snurra'!Q71)</f>
        <v>0.11390779355876374</v>
      </c>
    </row>
    <row r="20" spans="3:14">
      <c r="D20" s="82"/>
      <c r="M20" s="1" t="s">
        <v>176</v>
      </c>
      <c r="N20" s="82">
        <f>SUM(N13:N19)</f>
        <v>1.0000000000000002</v>
      </c>
    </row>
    <row r="21" spans="3:14">
      <c r="C21" s="1" t="s">
        <v>176</v>
      </c>
      <c r="D21" s="82">
        <f>SUM(D13:D19)</f>
        <v>0.99999999999999978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73F4-054A-4B33-B4AA-A8B4BF230C99}">
  <sheetPr>
    <tabColor rgb="FFFF0000"/>
  </sheetPr>
  <dimension ref="C3:H35"/>
  <sheetViews>
    <sheetView workbookViewId="0">
      <selection activeCell="F18" sqref="A1:XFD1048576"/>
    </sheetView>
  </sheetViews>
  <sheetFormatPr defaultColWidth="9.140625" defaultRowHeight="15"/>
  <cols>
    <col min="1" max="2" width="9.140625" style="1"/>
    <col min="3" max="3" width="26" style="1" bestFit="1" customWidth="1"/>
    <col min="4" max="5" width="23.42578125" style="1" bestFit="1" customWidth="1"/>
    <col min="6" max="6" width="35.28515625" style="1" bestFit="1" customWidth="1"/>
    <col min="7" max="7" width="10.5703125" style="1" bestFit="1" customWidth="1"/>
    <col min="8" max="8" width="18.140625" style="1" bestFit="1" customWidth="1"/>
    <col min="9" max="16384" width="9.140625" style="1"/>
  </cols>
  <sheetData>
    <row r="3" spans="3:8">
      <c r="C3" s="1" t="s">
        <v>222</v>
      </c>
      <c r="D3" s="1" t="s">
        <v>223</v>
      </c>
      <c r="E3" s="1" t="s">
        <v>224</v>
      </c>
    </row>
    <row r="4" spans="3:8">
      <c r="D4" s="1" t="s">
        <v>225</v>
      </c>
      <c r="E4" s="1" t="s">
        <v>226</v>
      </c>
    </row>
    <row r="5" spans="3:8">
      <c r="D5" s="1" t="s">
        <v>227</v>
      </c>
      <c r="E5" s="1" t="s">
        <v>228</v>
      </c>
    </row>
    <row r="6" spans="3:8">
      <c r="D6" s="1" t="s">
        <v>229</v>
      </c>
      <c r="E6" s="1" t="s">
        <v>230</v>
      </c>
    </row>
    <row r="7" spans="3:8">
      <c r="D7" s="1" t="s">
        <v>231</v>
      </c>
      <c r="E7" s="1" t="s">
        <v>232</v>
      </c>
    </row>
    <row r="9" spans="3:8">
      <c r="C9" s="13" t="s">
        <v>65</v>
      </c>
      <c r="D9" s="24" t="s">
        <v>70</v>
      </c>
      <c r="E9" s="24" t="s">
        <v>72</v>
      </c>
      <c r="F9" s="24" t="s">
        <v>151</v>
      </c>
      <c r="G9" s="25" t="s">
        <v>140</v>
      </c>
      <c r="H9" s="14" t="s">
        <v>233</v>
      </c>
    </row>
    <row r="10" spans="3:8">
      <c r="C10" s="3" t="s">
        <v>9</v>
      </c>
      <c r="D10" s="3" t="s">
        <v>223</v>
      </c>
      <c r="E10" s="3" t="s">
        <v>223</v>
      </c>
      <c r="F10" s="3" t="s">
        <v>225</v>
      </c>
      <c r="G10" s="3" t="s">
        <v>234</v>
      </c>
      <c r="H10" s="3" t="s">
        <v>225</v>
      </c>
    </row>
    <row r="11" spans="3:8">
      <c r="C11" s="3" t="s">
        <v>10</v>
      </c>
      <c r="D11" s="3" t="s">
        <v>223</v>
      </c>
      <c r="E11" s="3" t="s">
        <v>223</v>
      </c>
      <c r="F11" s="3" t="s">
        <v>225</v>
      </c>
      <c r="G11" s="3" t="s">
        <v>234</v>
      </c>
      <c r="H11" s="3" t="s">
        <v>225</v>
      </c>
    </row>
    <row r="13" spans="3:8">
      <c r="C13" s="13" t="s">
        <v>235</v>
      </c>
      <c r="D13" s="24" t="s">
        <v>70</v>
      </c>
      <c r="E13" s="24" t="s">
        <v>72</v>
      </c>
      <c r="F13" s="24" t="s">
        <v>151</v>
      </c>
      <c r="G13" s="25" t="s">
        <v>140</v>
      </c>
      <c r="H13" s="14" t="s">
        <v>233</v>
      </c>
    </row>
    <row r="14" spans="3:8">
      <c r="C14" s="3" t="s">
        <v>97</v>
      </c>
      <c r="D14" s="3" t="s">
        <v>223</v>
      </c>
      <c r="E14" s="3" t="s">
        <v>223</v>
      </c>
      <c r="F14" s="244" t="s">
        <v>227</v>
      </c>
      <c r="G14" s="245"/>
      <c r="H14" s="246"/>
    </row>
    <row r="15" spans="3:8">
      <c r="C15" s="3" t="s">
        <v>100</v>
      </c>
      <c r="D15" s="3" t="s">
        <v>223</v>
      </c>
      <c r="E15" s="3" t="s">
        <v>223</v>
      </c>
      <c r="F15" s="247"/>
      <c r="G15" s="248"/>
      <c r="H15" s="249"/>
    </row>
    <row r="17" spans="3:8">
      <c r="C17" s="13" t="s">
        <v>236</v>
      </c>
      <c r="D17" s="24" t="s">
        <v>70</v>
      </c>
      <c r="E17" s="24" t="s">
        <v>72</v>
      </c>
      <c r="F17" s="24" t="s">
        <v>151</v>
      </c>
      <c r="G17" s="25" t="s">
        <v>140</v>
      </c>
      <c r="H17" s="14" t="s">
        <v>233</v>
      </c>
    </row>
    <row r="18" spans="3:8">
      <c r="C18" s="3" t="s">
        <v>82</v>
      </c>
      <c r="D18" s="3" t="s">
        <v>223</v>
      </c>
      <c r="E18" s="3" t="s">
        <v>237</v>
      </c>
      <c r="F18" s="3" t="s">
        <v>238</v>
      </c>
      <c r="G18" s="3" t="s">
        <v>239</v>
      </c>
      <c r="H18" s="3" t="s">
        <v>225</v>
      </c>
    </row>
    <row r="19" spans="3:8">
      <c r="C19" s="3" t="s">
        <v>85</v>
      </c>
      <c r="D19" s="3" t="s">
        <v>223</v>
      </c>
      <c r="E19" s="3" t="s">
        <v>237</v>
      </c>
      <c r="F19" s="3" t="s">
        <v>238</v>
      </c>
      <c r="G19" s="3" t="s">
        <v>239</v>
      </c>
      <c r="H19" s="3" t="s">
        <v>225</v>
      </c>
    </row>
    <row r="21" spans="3:8">
      <c r="C21" s="13" t="s">
        <v>105</v>
      </c>
      <c r="D21" s="24" t="s">
        <v>70</v>
      </c>
      <c r="E21" s="24" t="s">
        <v>72</v>
      </c>
      <c r="F21" s="24" t="s">
        <v>151</v>
      </c>
      <c r="G21" s="25" t="s">
        <v>140</v>
      </c>
      <c r="H21" s="14" t="s">
        <v>233</v>
      </c>
    </row>
    <row r="22" spans="3:8">
      <c r="C22" s="3" t="s">
        <v>106</v>
      </c>
      <c r="D22" s="3" t="s">
        <v>223</v>
      </c>
      <c r="E22" s="3" t="s">
        <v>237</v>
      </c>
      <c r="F22" s="3" t="s">
        <v>240</v>
      </c>
      <c r="G22" s="3" t="s">
        <v>239</v>
      </c>
      <c r="H22" s="3" t="s">
        <v>225</v>
      </c>
    </row>
    <row r="23" spans="3:8">
      <c r="C23" s="3" t="s">
        <v>109</v>
      </c>
      <c r="D23" s="3" t="s">
        <v>223</v>
      </c>
      <c r="E23" s="3" t="s">
        <v>237</v>
      </c>
      <c r="F23" s="3" t="s">
        <v>240</v>
      </c>
      <c r="G23" s="3" t="s">
        <v>239</v>
      </c>
      <c r="H23" s="3" t="s">
        <v>225</v>
      </c>
    </row>
    <row r="24" spans="3:8">
      <c r="C24" s="3" t="s">
        <v>110</v>
      </c>
      <c r="D24" s="3" t="s">
        <v>240</v>
      </c>
      <c r="E24" s="3" t="s">
        <v>240</v>
      </c>
      <c r="F24" s="3" t="s">
        <v>240</v>
      </c>
      <c r="G24" s="3" t="s">
        <v>239</v>
      </c>
      <c r="H24" s="3" t="s">
        <v>225</v>
      </c>
    </row>
    <row r="26" spans="3:8">
      <c r="C26" s="13" t="s">
        <v>14</v>
      </c>
      <c r="D26" s="24" t="s">
        <v>70</v>
      </c>
      <c r="E26" s="24" t="s">
        <v>72</v>
      </c>
      <c r="F26" s="24" t="s">
        <v>151</v>
      </c>
      <c r="G26" s="25" t="s">
        <v>140</v>
      </c>
      <c r="H26" s="14" t="s">
        <v>182</v>
      </c>
    </row>
    <row r="27" spans="3:8">
      <c r="C27" s="9" t="s">
        <v>111</v>
      </c>
      <c r="D27" s="255" t="s">
        <v>241</v>
      </c>
      <c r="E27" s="245" t="s">
        <v>242</v>
      </c>
      <c r="F27" s="245"/>
      <c r="G27" s="245"/>
      <c r="H27" s="246"/>
    </row>
    <row r="28" spans="3:8">
      <c r="C28" s="9" t="s">
        <v>114</v>
      </c>
      <c r="D28" s="256"/>
      <c r="E28" s="250"/>
      <c r="F28" s="250"/>
      <c r="G28" s="250"/>
      <c r="H28" s="251"/>
    </row>
    <row r="29" spans="3:8">
      <c r="C29" s="9" t="s">
        <v>115</v>
      </c>
      <c r="D29" s="256"/>
      <c r="E29" s="250"/>
      <c r="F29" s="250"/>
      <c r="G29" s="250"/>
      <c r="H29" s="251"/>
    </row>
    <row r="30" spans="3:8">
      <c r="C30" s="9" t="s">
        <v>117</v>
      </c>
      <c r="D30" s="257"/>
      <c r="E30" s="248"/>
      <c r="F30" s="248"/>
      <c r="G30" s="248"/>
      <c r="H30" s="249"/>
    </row>
    <row r="32" spans="3:8">
      <c r="C32" s="13" t="s">
        <v>118</v>
      </c>
      <c r="D32" s="24" t="s">
        <v>70</v>
      </c>
      <c r="E32" s="24" t="s">
        <v>72</v>
      </c>
      <c r="F32" s="24" t="s">
        <v>151</v>
      </c>
      <c r="G32" s="25" t="s">
        <v>140</v>
      </c>
      <c r="H32" s="14" t="s">
        <v>182</v>
      </c>
    </row>
    <row r="33" spans="3:8">
      <c r="C33" s="9" t="s">
        <v>119</v>
      </c>
      <c r="D33" s="252" t="s">
        <v>223</v>
      </c>
      <c r="E33" s="245" t="s">
        <v>242</v>
      </c>
      <c r="F33" s="245"/>
      <c r="G33" s="245"/>
      <c r="H33" s="246"/>
    </row>
    <row r="34" spans="3:8">
      <c r="C34" s="9" t="s">
        <v>121</v>
      </c>
      <c r="D34" s="253"/>
      <c r="E34" s="250"/>
      <c r="F34" s="250"/>
      <c r="G34" s="250"/>
      <c r="H34" s="251"/>
    </row>
    <row r="35" spans="3:8" ht="30">
      <c r="C35" s="12" t="s">
        <v>122</v>
      </c>
      <c r="D35" s="254"/>
      <c r="E35" s="248"/>
      <c r="F35" s="248"/>
      <c r="G35" s="248"/>
      <c r="H35" s="249"/>
    </row>
  </sheetData>
  <sheetProtection algorithmName="SHA-512" hashValue="qEjYP1uZygUbjqvf0DF8Qoswo1V1jOVhv2zA+8MKBVBWAmUHV+QbUm8JmhKIVH4thTe8qGN5fcggEEm8NBN//w==" saltValue="2LtTXSm1Wiw0aeqltEvU0A==" spinCount="100000" sheet="1" objects="1" scenarios="1"/>
  <mergeCells count="5">
    <mergeCell ref="F14:H15"/>
    <mergeCell ref="E33:H35"/>
    <mergeCell ref="D33:D35"/>
    <mergeCell ref="E27:H30"/>
    <mergeCell ref="D27:D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E773E3806B76E4DB726E4B8EC134E75" ma:contentTypeVersion="6" ma:contentTypeDescription="Skapa ett nytt dokument." ma:contentTypeScope="" ma:versionID="b5a30978a843608e1519b008cbc4b887">
  <xsd:schema xmlns:xsd="http://www.w3.org/2001/XMLSchema" xmlns:xs="http://www.w3.org/2001/XMLSchema" xmlns:p="http://schemas.microsoft.com/office/2006/metadata/properties" xmlns:ns2="ef19cda6-7d39-492a-8642-58fc3a27c313" xmlns:ns3="91c32f57-588f-4bb8-9002-cfd812192c2d" targetNamespace="http://schemas.microsoft.com/office/2006/metadata/properties" ma:root="true" ma:fieldsID="4dc9de6d92a3200c49acb61155ba0df6" ns2:_="" ns3:_="">
    <xsd:import namespace="ef19cda6-7d39-492a-8642-58fc3a27c313"/>
    <xsd:import namespace="91c32f57-588f-4bb8-9002-cfd812192c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9cda6-7d39-492a-8642-58fc3a27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c32f57-588f-4bb8-9002-cfd812192c2d"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61FB22-E411-4B54-8A76-3FAA7AEDC2CB}"/>
</file>

<file path=customXml/itemProps2.xml><?xml version="1.0" encoding="utf-8"?>
<ds:datastoreItem xmlns:ds="http://schemas.openxmlformats.org/officeDocument/2006/customXml" ds:itemID="{3F3C6937-5AB9-4306-84B3-EC6C2A5D373B}"/>
</file>

<file path=customXml/itemProps3.xml><?xml version="1.0" encoding="utf-8"?>
<ds:datastoreItem xmlns:ds="http://schemas.openxmlformats.org/officeDocument/2006/customXml" ds:itemID="{72F05DA5-811D-47D9-9619-18E22DA242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Åsa Thrysin</dc:creator>
  <cp:keywords/>
  <dc:description/>
  <cp:lastModifiedBy>Borgström, Sara</cp:lastModifiedBy>
  <cp:revision/>
  <dcterms:created xsi:type="dcterms:W3CDTF">2020-11-03T09:17:50Z</dcterms:created>
  <dcterms:modified xsi:type="dcterms:W3CDTF">2021-10-14T10:42:08Z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0x0101004E773E3806B76E4DB726E4B8EC134E75</vt:lpwstr>
  </property>
  <property fmtid="{D5CDD505-2E9C-101B-9397-08002B2CF9AE}" pid="3" name="Gruppnr">
    <vt:lpwstr/>
  </property>
  <property fmtid="{D5CDD505-2E9C-101B-9397-08002B2CF9AE}" pid="4" name="Projektnr">
    <vt:lpwstr/>
  </property>
  <property fmtid="{D5CDD505-2E9C-101B-9397-08002B2CF9AE}" pid="5" name="Dokumenttyp">
    <vt:lpwstr/>
  </property>
</Properties>
</file>